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7"/>
  <workbookPr filterPrivacy="1"/>
  <xr:revisionPtr revIDLastSave="0" documentId="8_{A2BBD10D-BC5C-4B4E-AF45-BEEFED9A0621}" xr6:coauthVersionLast="47" xr6:coauthVersionMax="47" xr10:uidLastSave="{00000000-0000-0000-0000-000000000000}"/>
  <bookViews>
    <workbookView xWindow="2200" yWindow="2420" windowWidth="46720" windowHeight="26840" tabRatio="864" activeTab="3" xr2:uid="{00000000-000D-0000-FFFF-FFFF00000000}"/>
  </bookViews>
  <sheets>
    <sheet name="Introduction" sheetId="20" r:id="rId1"/>
    <sheet name="Definition" sheetId="21" r:id="rId2"/>
    <sheet name="Model Flow Chart" sheetId="1" r:id="rId3"/>
    <sheet name="Input" sheetId="2" r:id="rId4"/>
    <sheet name="Cost Summary" sheetId="6" r:id="rId5"/>
    <sheet name="Machine Rates" sheetId="4" r:id="rId6"/>
    <sheet name="Felling" sheetId="14" r:id="rId7"/>
    <sheet name="Extraction" sheetId="15" r:id="rId8"/>
    <sheet name="Processing" sheetId="16" r:id="rId9"/>
    <sheet name="Loading" sheetId="17" r:id="rId10"/>
    <sheet name="Chipping &amp; Grinding" sheetId="18" r:id="rId11"/>
    <sheet name="Transportation" sheetId="19" r:id="rId12"/>
    <sheet name="Tree volume estimation" sheetId="8" r:id="rId13"/>
    <sheet name="References " sheetId="22" r:id="rId14"/>
    <sheet name="#of logs" sheetId="23" state="hidden" r:id="rId15"/>
  </sheets>
  <definedNames>
    <definedName name="Extraction">Input!$L$62:$L$64</definedName>
    <definedName name="Extraction_CTL">Input!$I$62:$I$64</definedName>
    <definedName name="Extraction_TL">Input!$J$62:$J$64</definedName>
    <definedName name="Extraction_WT">Input!$H$62:$H$64</definedName>
    <definedName name="Felling">Input!$K$62:$K$64</definedName>
    <definedName name="Felling_CTL">Input!$F$62:$F$64</definedName>
    <definedName name="Felling_TL">Input!$G$62:$G$64</definedName>
    <definedName name="Felling_WT">Input!$E$62:$E$64</definedName>
    <definedName name="Harvesting_method">Input!$D$51:$D$53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2" i="8" l="1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K31" i="8"/>
  <c r="E30" i="8"/>
  <c r="G25" i="4"/>
  <c r="G42" i="4" s="1"/>
  <c r="I25" i="4"/>
  <c r="I42" i="4" s="1"/>
  <c r="K25" i="4"/>
  <c r="K42" i="4" s="1"/>
  <c r="M25" i="4"/>
  <c r="M42" i="4" s="1"/>
  <c r="G29" i="4"/>
  <c r="I29" i="4"/>
  <c r="K29" i="4"/>
  <c r="M29" i="4"/>
  <c r="G30" i="4"/>
  <c r="I30" i="4"/>
  <c r="I43" i="4" s="1"/>
  <c r="J43" i="4" s="1"/>
  <c r="K30" i="4"/>
  <c r="M30" i="4"/>
  <c r="G31" i="4"/>
  <c r="I31" i="4"/>
  <c r="K31" i="4"/>
  <c r="L47" i="4" s="1"/>
  <c r="M31" i="4"/>
  <c r="N47" i="4" s="1"/>
  <c r="G34" i="4"/>
  <c r="H49" i="4" s="1"/>
  <c r="H50" i="4" s="1"/>
  <c r="I34" i="4"/>
  <c r="J49" i="4" s="1"/>
  <c r="J50" i="4" s="1"/>
  <c r="K34" i="4"/>
  <c r="L49" i="4" s="1"/>
  <c r="M34" i="4"/>
  <c r="N49" i="4" s="1"/>
  <c r="I36" i="4"/>
  <c r="I55" i="4" s="1"/>
  <c r="J55" i="4" s="1"/>
  <c r="K36" i="4"/>
  <c r="K55" i="4" s="1"/>
  <c r="L55" i="4" s="1"/>
  <c r="M36" i="4"/>
  <c r="G37" i="4"/>
  <c r="I37" i="4"/>
  <c r="K37" i="4"/>
  <c r="M37" i="4"/>
  <c r="G40" i="4"/>
  <c r="H40" i="4"/>
  <c r="I40" i="4"/>
  <c r="J40" i="4"/>
  <c r="K40" i="4"/>
  <c r="L40" i="4"/>
  <c r="M40" i="4"/>
  <c r="N40" i="4" s="1"/>
  <c r="H47" i="4"/>
  <c r="J47" i="4"/>
  <c r="G55" i="4"/>
  <c r="H55" i="4" s="1"/>
  <c r="C25" i="2"/>
  <c r="C23" i="2"/>
  <c r="B23" i="2"/>
  <c r="B24" i="2"/>
  <c r="B25" i="2"/>
  <c r="E15" i="19"/>
  <c r="AJ5" i="17"/>
  <c r="AA7" i="16"/>
  <c r="AM16" i="15"/>
  <c r="AN16" i="15"/>
  <c r="BK12" i="14"/>
  <c r="BJ12" i="14"/>
  <c r="B16" i="2"/>
  <c r="B14" i="2"/>
  <c r="B6" i="8"/>
  <c r="B5" i="8"/>
  <c r="G43" i="4" l="1"/>
  <c r="M55" i="4"/>
  <c r="N55" i="4" s="1"/>
  <c r="H43" i="4"/>
  <c r="H44" i="4" s="1"/>
  <c r="G44" i="4"/>
  <c r="J44" i="4"/>
  <c r="I44" i="4"/>
  <c r="I50" i="4"/>
  <c r="J51" i="4"/>
  <c r="J52" i="4" s="1"/>
  <c r="M47" i="4"/>
  <c r="H51" i="4"/>
  <c r="H52" i="4" s="1"/>
  <c r="G50" i="4"/>
  <c r="K47" i="4"/>
  <c r="M43" i="4"/>
  <c r="N43" i="4" s="1"/>
  <c r="N44" i="4"/>
  <c r="K43" i="4"/>
  <c r="L43" i="4" s="1"/>
  <c r="L44" i="4" s="1"/>
  <c r="M49" i="4"/>
  <c r="I47" i="4"/>
  <c r="K49" i="4"/>
  <c r="G47" i="4"/>
  <c r="N50" i="4"/>
  <c r="M50" i="4" s="1"/>
  <c r="I49" i="4"/>
  <c r="L50" i="4"/>
  <c r="K50" i="4" s="1"/>
  <c r="G49" i="4"/>
  <c r="AH115" i="8"/>
  <c r="AH114" i="8"/>
  <c r="AH113" i="8"/>
  <c r="AH112" i="8"/>
  <c r="AH71" i="8"/>
  <c r="AH70" i="8"/>
  <c r="AH69" i="8"/>
  <c r="AH68" i="8"/>
  <c r="AH28" i="8"/>
  <c r="AI28" i="8" s="1"/>
  <c r="AH27" i="8"/>
  <c r="AI27" i="8" s="1"/>
  <c r="AH26" i="8"/>
  <c r="AI26" i="8" s="1"/>
  <c r="AH25" i="8"/>
  <c r="J58" i="4" l="1"/>
  <c r="I16" i="4" s="1"/>
  <c r="J17" i="4" s="1"/>
  <c r="K44" i="4"/>
  <c r="I51" i="4"/>
  <c r="H58" i="4"/>
  <c r="G16" i="4" s="1"/>
  <c r="H17" i="4" s="1"/>
  <c r="K51" i="4"/>
  <c r="K52" i="4" s="1"/>
  <c r="K58" i="4" s="1"/>
  <c r="I52" i="4"/>
  <c r="I58" i="4" s="1"/>
  <c r="M44" i="4"/>
  <c r="M51" i="4"/>
  <c r="M52" i="4" s="1"/>
  <c r="G52" i="4"/>
  <c r="G58" i="4" s="1"/>
  <c r="L58" i="4"/>
  <c r="K16" i="4" s="1"/>
  <c r="L17" i="4" s="1"/>
  <c r="L51" i="4"/>
  <c r="L52" i="4" s="1"/>
  <c r="G51" i="4"/>
  <c r="N51" i="4"/>
  <c r="N52" i="4" s="1"/>
  <c r="N58" i="4" s="1"/>
  <c r="M16" i="4" s="1"/>
  <c r="N17" i="4" s="1"/>
  <c r="AI25" i="8"/>
  <c r="AG113" i="8"/>
  <c r="AK113" i="8" s="1"/>
  <c r="AG114" i="8"/>
  <c r="AK114" i="8" s="1"/>
  <c r="AG115" i="8"/>
  <c r="AK115" i="8" s="1"/>
  <c r="AG116" i="8"/>
  <c r="AG117" i="8"/>
  <c r="AH117" i="8" s="1"/>
  <c r="AG118" i="8"/>
  <c r="AH118" i="8" s="1"/>
  <c r="AG119" i="8"/>
  <c r="AH119" i="8" s="1"/>
  <c r="AG120" i="8"/>
  <c r="AH120" i="8" s="1"/>
  <c r="AG121" i="8"/>
  <c r="AH121" i="8" s="1"/>
  <c r="AG122" i="8"/>
  <c r="AH122" i="8" s="1"/>
  <c r="AG123" i="8"/>
  <c r="AH123" i="8" s="1"/>
  <c r="AG124" i="8"/>
  <c r="AH124" i="8" s="1"/>
  <c r="AG125" i="8"/>
  <c r="AH125" i="8" s="1"/>
  <c r="AG126" i="8"/>
  <c r="AH126" i="8" s="1"/>
  <c r="AG127" i="8"/>
  <c r="AH127" i="8" s="1"/>
  <c r="AG128" i="8"/>
  <c r="AH128" i="8" s="1"/>
  <c r="AG129" i="8"/>
  <c r="AH129" i="8" s="1"/>
  <c r="AG130" i="8"/>
  <c r="AH130" i="8" s="1"/>
  <c r="AG131" i="8"/>
  <c r="AH131" i="8" s="1"/>
  <c r="AG132" i="8"/>
  <c r="AH132" i="8" s="1"/>
  <c r="AG133" i="8"/>
  <c r="AH133" i="8" s="1"/>
  <c r="AG134" i="8"/>
  <c r="AH134" i="8" s="1"/>
  <c r="AG135" i="8"/>
  <c r="AH135" i="8" s="1"/>
  <c r="AG136" i="8"/>
  <c r="AH136" i="8" s="1"/>
  <c r="AG137" i="8"/>
  <c r="AH137" i="8" s="1"/>
  <c r="AG138" i="8"/>
  <c r="AH138" i="8" s="1"/>
  <c r="AG139" i="8"/>
  <c r="AH139" i="8" s="1"/>
  <c r="AG140" i="8"/>
  <c r="AH140" i="8" s="1"/>
  <c r="AG141" i="8"/>
  <c r="AH141" i="8" s="1"/>
  <c r="AG142" i="8"/>
  <c r="AH142" i="8" s="1"/>
  <c r="AG143" i="8"/>
  <c r="AH143" i="8" s="1"/>
  <c r="AG144" i="8"/>
  <c r="AH144" i="8" s="1"/>
  <c r="AG112" i="8"/>
  <c r="AK112" i="8" s="1"/>
  <c r="AG69" i="8"/>
  <c r="AK69" i="8" s="1"/>
  <c r="AG70" i="8"/>
  <c r="AK70" i="8" s="1"/>
  <c r="AG71" i="8"/>
  <c r="AK71" i="8" s="1"/>
  <c r="AG72" i="8"/>
  <c r="AG73" i="8"/>
  <c r="AG30" i="8" s="1"/>
  <c r="AG74" i="8"/>
  <c r="AG75" i="8"/>
  <c r="AG76" i="8"/>
  <c r="AG77" i="8"/>
  <c r="AG78" i="8"/>
  <c r="AG79" i="8"/>
  <c r="AG80" i="8"/>
  <c r="AG81" i="8"/>
  <c r="AG82" i="8"/>
  <c r="AG83" i="8"/>
  <c r="AG84" i="8"/>
  <c r="AG85" i="8"/>
  <c r="AG86" i="8"/>
  <c r="AG43" i="8" s="1"/>
  <c r="AG87" i="8"/>
  <c r="AG88" i="8"/>
  <c r="AG45" i="8" s="1"/>
  <c r="AG89" i="8"/>
  <c r="AG90" i="8"/>
  <c r="AG91" i="8"/>
  <c r="AG92" i="8"/>
  <c r="AG93" i="8"/>
  <c r="AG94" i="8"/>
  <c r="AG95" i="8"/>
  <c r="AG96" i="8"/>
  <c r="AG97" i="8"/>
  <c r="AG98" i="8"/>
  <c r="AG55" i="8" s="1"/>
  <c r="AG99" i="8"/>
  <c r="AG100" i="8"/>
  <c r="AG68" i="8"/>
  <c r="AG57" i="8"/>
  <c r="AG53" i="8"/>
  <c r="P40" i="2"/>
  <c r="O40" i="2"/>
  <c r="N40" i="2"/>
  <c r="M40" i="2"/>
  <c r="L40" i="2"/>
  <c r="K40" i="2"/>
  <c r="J40" i="2"/>
  <c r="I40" i="2"/>
  <c r="G40" i="2"/>
  <c r="H40" i="2"/>
  <c r="R40" i="2"/>
  <c r="Q40" i="2"/>
  <c r="M58" i="4" l="1"/>
  <c r="C27" i="2"/>
  <c r="AI57" i="8"/>
  <c r="AH57" i="8"/>
  <c r="AK57" i="8" s="1"/>
  <c r="AG25" i="8"/>
  <c r="AK25" i="8" s="1"/>
  <c r="AK68" i="8"/>
  <c r="AI100" i="8"/>
  <c r="AH100" i="8"/>
  <c r="AI92" i="8"/>
  <c r="AJ92" i="8" s="1"/>
  <c r="AH92" i="8"/>
  <c r="AG48" i="8"/>
  <c r="AI91" i="8"/>
  <c r="AH91" i="8"/>
  <c r="AG50" i="8"/>
  <c r="AI93" i="8"/>
  <c r="AH93" i="8"/>
  <c r="AI53" i="8"/>
  <c r="AJ53" i="8" s="1"/>
  <c r="AH53" i="8"/>
  <c r="AK53" i="8" s="1"/>
  <c r="AI43" i="8"/>
  <c r="AH43" i="8"/>
  <c r="AK43" i="8" s="1"/>
  <c r="AI82" i="8"/>
  <c r="AJ82" i="8" s="1"/>
  <c r="AH82" i="8"/>
  <c r="AI81" i="8"/>
  <c r="AJ81" i="8" s="1"/>
  <c r="AH81" i="8"/>
  <c r="AG37" i="8"/>
  <c r="AI80" i="8"/>
  <c r="AH80" i="8"/>
  <c r="AI83" i="8"/>
  <c r="AH83" i="8"/>
  <c r="AI94" i="8"/>
  <c r="AI138" i="8" s="1"/>
  <c r="AH94" i="8"/>
  <c r="AG36" i="8"/>
  <c r="AI79" i="8"/>
  <c r="AH79" i="8"/>
  <c r="AI89" i="8"/>
  <c r="AH89" i="8"/>
  <c r="AI88" i="8"/>
  <c r="AH88" i="8"/>
  <c r="AG38" i="8"/>
  <c r="AI87" i="8"/>
  <c r="AH87" i="8"/>
  <c r="AI75" i="8"/>
  <c r="AI119" i="8" s="1"/>
  <c r="AJ119" i="8" s="1"/>
  <c r="AH75" i="8"/>
  <c r="AH116" i="8"/>
  <c r="AH30" i="8"/>
  <c r="AK30" i="8"/>
  <c r="AI30" i="8"/>
  <c r="AJ30" i="8" s="1"/>
  <c r="AI77" i="8"/>
  <c r="AJ77" i="8" s="1"/>
  <c r="AH77" i="8"/>
  <c r="AI95" i="8"/>
  <c r="AH95" i="8"/>
  <c r="AI45" i="8"/>
  <c r="AJ45" i="8" s="1"/>
  <c r="AH45" i="8"/>
  <c r="AK45" i="8" s="1"/>
  <c r="AI55" i="8"/>
  <c r="AH55" i="8"/>
  <c r="AK55" i="8" s="1"/>
  <c r="AI90" i="8"/>
  <c r="AH90" i="8"/>
  <c r="AG33" i="8"/>
  <c r="AI76" i="8"/>
  <c r="AH76" i="8"/>
  <c r="AI99" i="8"/>
  <c r="AH99" i="8"/>
  <c r="AI98" i="8"/>
  <c r="AH98" i="8"/>
  <c r="AI86" i="8"/>
  <c r="AH86" i="8"/>
  <c r="AI74" i="8"/>
  <c r="AJ74" i="8" s="1"/>
  <c r="AH74" i="8"/>
  <c r="AG40" i="8"/>
  <c r="AG54" i="8"/>
  <c r="AI97" i="8"/>
  <c r="AH97" i="8"/>
  <c r="AI85" i="8"/>
  <c r="AH85" i="8"/>
  <c r="AH73" i="8"/>
  <c r="AI73" i="8"/>
  <c r="AG52" i="8"/>
  <c r="AI78" i="8"/>
  <c r="AH78" i="8"/>
  <c r="AG42" i="8"/>
  <c r="AI96" i="8"/>
  <c r="AH96" i="8"/>
  <c r="AG41" i="8"/>
  <c r="AI84" i="8"/>
  <c r="AH84" i="8"/>
  <c r="AI72" i="8"/>
  <c r="AH72" i="8"/>
  <c r="AG32" i="8"/>
  <c r="AG39" i="8"/>
  <c r="AG49" i="8"/>
  <c r="AG44" i="8"/>
  <c r="AG51" i="8"/>
  <c r="AJ98" i="8"/>
  <c r="AG27" i="8"/>
  <c r="AK27" i="8" s="1"/>
  <c r="AG56" i="8"/>
  <c r="AI136" i="8"/>
  <c r="AJ136" i="8" s="1"/>
  <c r="AG31" i="8"/>
  <c r="AG46" i="8"/>
  <c r="AG34" i="8"/>
  <c r="AJ80" i="8"/>
  <c r="AG26" i="8"/>
  <c r="AK26" i="8" s="1"/>
  <c r="AG29" i="8"/>
  <c r="AG28" i="8"/>
  <c r="AK28" i="8" s="1"/>
  <c r="AG35" i="8"/>
  <c r="AG47" i="8"/>
  <c r="AJ57" i="8"/>
  <c r="Q41" i="2"/>
  <c r="AI36" i="8" l="1"/>
  <c r="AJ36" i="8" s="1"/>
  <c r="AH36" i="8"/>
  <c r="AK36" i="8" s="1"/>
  <c r="AI50" i="8"/>
  <c r="AH50" i="8"/>
  <c r="AK50" i="8" s="1"/>
  <c r="AI52" i="8"/>
  <c r="AJ52" i="8" s="1"/>
  <c r="AH52" i="8"/>
  <c r="AK52" i="8" s="1"/>
  <c r="AI46" i="8"/>
  <c r="AH46" i="8"/>
  <c r="AK46" i="8" s="1"/>
  <c r="AI38" i="8"/>
  <c r="AJ38" i="8" s="1"/>
  <c r="AH38" i="8"/>
  <c r="AK38" i="8" s="1"/>
  <c r="AI31" i="8"/>
  <c r="AH31" i="8"/>
  <c r="AK31" i="8" s="1"/>
  <c r="AI44" i="8"/>
  <c r="AJ44" i="8" s="1"/>
  <c r="AH44" i="8"/>
  <c r="AK44" i="8" s="1"/>
  <c r="AI117" i="8"/>
  <c r="AJ117" i="8" s="1"/>
  <c r="AK117" i="8" s="1"/>
  <c r="AJ73" i="8"/>
  <c r="AK73" i="8" s="1"/>
  <c r="AI48" i="8"/>
  <c r="AJ48" i="8" s="1"/>
  <c r="AH48" i="8"/>
  <c r="AK48" i="8" s="1"/>
  <c r="AI121" i="8"/>
  <c r="AJ121" i="8" s="1"/>
  <c r="AI40" i="8"/>
  <c r="AJ40" i="8" s="1"/>
  <c r="AH40" i="8"/>
  <c r="AK40" i="8" s="1"/>
  <c r="AJ94" i="8"/>
  <c r="AI35" i="8"/>
  <c r="AJ35" i="8" s="1"/>
  <c r="AH35" i="8"/>
  <c r="AK35" i="8" s="1"/>
  <c r="AJ75" i="8"/>
  <c r="AI118" i="8"/>
  <c r="AJ118" i="8" s="1"/>
  <c r="AI32" i="8"/>
  <c r="AH32" i="8"/>
  <c r="AK32" i="8" s="1"/>
  <c r="AI42" i="8"/>
  <c r="AJ42" i="8" s="1"/>
  <c r="AH42" i="8"/>
  <c r="AK42" i="8" s="1"/>
  <c r="AI116" i="8"/>
  <c r="AJ72" i="8"/>
  <c r="AI47" i="8"/>
  <c r="AH47" i="8"/>
  <c r="AK47" i="8" s="1"/>
  <c r="AI39" i="8"/>
  <c r="AJ39" i="8" s="1"/>
  <c r="AH39" i="8"/>
  <c r="AK39" i="8" s="1"/>
  <c r="AI34" i="8"/>
  <c r="AH34" i="8"/>
  <c r="AK34" i="8" s="1"/>
  <c r="AI51" i="8"/>
  <c r="AH51" i="8"/>
  <c r="AK51" i="8" s="1"/>
  <c r="AI41" i="8"/>
  <c r="AJ41" i="8" s="1"/>
  <c r="AH41" i="8"/>
  <c r="AK41" i="8" s="1"/>
  <c r="AI56" i="8"/>
  <c r="AJ56" i="8" s="1"/>
  <c r="AH56" i="8"/>
  <c r="AK56" i="8" s="1"/>
  <c r="AI37" i="8"/>
  <c r="AJ37" i="8" s="1"/>
  <c r="AH37" i="8"/>
  <c r="AK37" i="8" s="1"/>
  <c r="AI49" i="8"/>
  <c r="AJ49" i="8" s="1"/>
  <c r="AK136" i="8" s="1"/>
  <c r="AH49" i="8"/>
  <c r="AK49" i="8" s="1"/>
  <c r="AH29" i="8"/>
  <c r="AK29" i="8"/>
  <c r="AI29" i="8"/>
  <c r="AJ29" i="8" s="1"/>
  <c r="AI126" i="8"/>
  <c r="AJ126" i="8" s="1"/>
  <c r="AH102" i="8"/>
  <c r="AI54" i="8"/>
  <c r="AJ54" i="8" s="1"/>
  <c r="AH54" i="8"/>
  <c r="AK54" i="8" s="1"/>
  <c r="AI33" i="8"/>
  <c r="AJ33" i="8" s="1"/>
  <c r="AH33" i="8"/>
  <c r="AK33" i="8" s="1"/>
  <c r="AJ89" i="8"/>
  <c r="AI133" i="8"/>
  <c r="AJ133" i="8" s="1"/>
  <c r="AI125" i="8"/>
  <c r="AJ125" i="8" s="1"/>
  <c r="AI142" i="8"/>
  <c r="AJ142" i="8" s="1"/>
  <c r="AJ87" i="8"/>
  <c r="AI131" i="8"/>
  <c r="AJ131" i="8" s="1"/>
  <c r="AJ83" i="8"/>
  <c r="AI127" i="8"/>
  <c r="AJ127" i="8" s="1"/>
  <c r="AJ90" i="8"/>
  <c r="AI134" i="8"/>
  <c r="AJ134" i="8" s="1"/>
  <c r="AJ50" i="8"/>
  <c r="AJ79" i="8"/>
  <c r="AK79" i="8" s="1"/>
  <c r="AI123" i="8"/>
  <c r="AJ123" i="8" s="1"/>
  <c r="AJ84" i="8"/>
  <c r="AK84" i="8" s="1"/>
  <c r="AI128" i="8"/>
  <c r="AJ97" i="8"/>
  <c r="AI141" i="8"/>
  <c r="AJ141" i="8" s="1"/>
  <c r="AJ100" i="8"/>
  <c r="AK100" i="8" s="1"/>
  <c r="AI144" i="8"/>
  <c r="AJ144" i="8" s="1"/>
  <c r="AK144" i="8" s="1"/>
  <c r="AJ138" i="8"/>
  <c r="AI143" i="8"/>
  <c r="AJ143" i="8" s="1"/>
  <c r="AJ99" i="8"/>
  <c r="AJ88" i="8"/>
  <c r="AK88" i="8" s="1"/>
  <c r="AI132" i="8"/>
  <c r="AI124" i="8"/>
  <c r="AJ93" i="8"/>
  <c r="AI137" i="8"/>
  <c r="AJ137" i="8" s="1"/>
  <c r="AJ91" i="8"/>
  <c r="AI135" i="8"/>
  <c r="AJ85" i="8"/>
  <c r="AK85" i="8" s="1"/>
  <c r="AI129" i="8"/>
  <c r="AJ129" i="8" s="1"/>
  <c r="AJ96" i="8"/>
  <c r="AK96" i="8" s="1"/>
  <c r="AI140" i="8"/>
  <c r="AJ140" i="8" s="1"/>
  <c r="AK140" i="8" s="1"/>
  <c r="AJ78" i="8"/>
  <c r="AI122" i="8"/>
  <c r="AJ122" i="8" s="1"/>
  <c r="AJ86" i="8"/>
  <c r="AI130" i="8"/>
  <c r="AJ76" i="8"/>
  <c r="AI120" i="8"/>
  <c r="AJ120" i="8" s="1"/>
  <c r="AJ95" i="8"/>
  <c r="AK95" i="8" s="1"/>
  <c r="AI139" i="8"/>
  <c r="AJ55" i="8"/>
  <c r="AK98" i="8" s="1"/>
  <c r="AJ43" i="8"/>
  <c r="AK86" i="8" l="1"/>
  <c r="AK143" i="8"/>
  <c r="AK99" i="8"/>
  <c r="AK122" i="8"/>
  <c r="AK78" i="8"/>
  <c r="AK120" i="8"/>
  <c r="AK97" i="8"/>
  <c r="AJ102" i="8"/>
  <c r="Q43" i="2" s="1"/>
  <c r="Q42" i="2"/>
  <c r="AK129" i="8"/>
  <c r="AK127" i="8"/>
  <c r="AK126" i="8"/>
  <c r="AK82" i="8"/>
  <c r="AK131" i="8"/>
  <c r="AK87" i="8"/>
  <c r="AK80" i="8"/>
  <c r="AK76" i="8"/>
  <c r="AK141" i="8"/>
  <c r="AK83" i="8"/>
  <c r="AK125" i="8"/>
  <c r="AK137" i="8"/>
  <c r="AK123" i="8"/>
  <c r="AK81" i="8"/>
  <c r="AK72" i="8"/>
  <c r="AK93" i="8"/>
  <c r="AJ116" i="8"/>
  <c r="AK116" i="8" s="1"/>
  <c r="AH146" i="8"/>
  <c r="AJ146" i="8" s="1"/>
  <c r="AK92" i="8"/>
  <c r="AK142" i="8"/>
  <c r="AK91" i="8"/>
  <c r="AH60" i="8"/>
  <c r="AJ60" i="8" s="1"/>
  <c r="AJ34" i="8"/>
  <c r="AJ51" i="8"/>
  <c r="AJ31" i="8"/>
  <c r="AJ32" i="8"/>
  <c r="AJ132" i="8"/>
  <c r="AK132" i="8" s="1"/>
  <c r="AJ139" i="8"/>
  <c r="AK139" i="8" s="1"/>
  <c r="AJ130" i="8"/>
  <c r="AK130" i="8" s="1"/>
  <c r="AJ135" i="8"/>
  <c r="AK135" i="8" s="1"/>
  <c r="AJ128" i="8"/>
  <c r="AK128" i="8" s="1"/>
  <c r="AJ46" i="8"/>
  <c r="AJ124" i="8"/>
  <c r="AK124" i="8" s="1"/>
  <c r="AJ47" i="8"/>
  <c r="AH59" i="8"/>
  <c r="AJ59" i="8" s="1"/>
  <c r="AK133" i="8" l="1"/>
  <c r="AK89" i="8"/>
  <c r="AK118" i="8"/>
  <c r="AK74" i="8"/>
  <c r="AK121" i="8"/>
  <c r="AK77" i="8"/>
  <c r="AK134" i="8"/>
  <c r="AK90" i="8"/>
  <c r="AK119" i="8"/>
  <c r="AK75" i="8"/>
  <c r="AK138" i="8"/>
  <c r="AK94" i="8"/>
  <c r="AN39" i="14"/>
  <c r="AO39" i="14"/>
  <c r="AP39" i="14"/>
  <c r="AQ39" i="14"/>
  <c r="D33" i="14"/>
  <c r="G33" i="14" s="1"/>
  <c r="AH103" i="8" l="1"/>
  <c r="AJ103" i="8" s="1"/>
  <c r="AH147" i="8"/>
  <c r="AJ147" i="8" s="1"/>
  <c r="Q44" i="2" s="1"/>
  <c r="AF39" i="14"/>
  <c r="AG39" i="14"/>
  <c r="AH39" i="14"/>
  <c r="AI39" i="14"/>
  <c r="AJ39" i="14"/>
  <c r="AK39" i="14"/>
  <c r="AL39" i="14"/>
  <c r="AM39" i="14"/>
  <c r="AE39" i="14"/>
  <c r="D29" i="15" l="1"/>
  <c r="AA29" i="15"/>
  <c r="AC29" i="15" s="1"/>
  <c r="AA30" i="15"/>
  <c r="AC30" i="15" s="1"/>
  <c r="AA31" i="15"/>
  <c r="AC31" i="15" s="1"/>
  <c r="AA32" i="15"/>
  <c r="AC32" i="15" s="1"/>
  <c r="AA33" i="15"/>
  <c r="AC33" i="15" s="1"/>
  <c r="AA34" i="15"/>
  <c r="AC34" i="15" s="1"/>
  <c r="AA35" i="15"/>
  <c r="AC35" i="15" s="1"/>
  <c r="AA36" i="15"/>
  <c r="AC36" i="15" s="1"/>
  <c r="AA37" i="15"/>
  <c r="AC37" i="15" s="1"/>
  <c r="AA38" i="15"/>
  <c r="AC38" i="15" s="1"/>
  <c r="AA39" i="15"/>
  <c r="AE39" i="15" s="1"/>
  <c r="AA40" i="15"/>
  <c r="AE40" i="15" s="1"/>
  <c r="AA41" i="15"/>
  <c r="AC41" i="15" s="1"/>
  <c r="AA42" i="15"/>
  <c r="AE42" i="15" s="1"/>
  <c r="AA43" i="15"/>
  <c r="AC43" i="15" s="1"/>
  <c r="AA44" i="15"/>
  <c r="AE44" i="15" s="1"/>
  <c r="AA45" i="15"/>
  <c r="AC45" i="15" s="1"/>
  <c r="AA46" i="15"/>
  <c r="AE46" i="15" s="1"/>
  <c r="AA47" i="15"/>
  <c r="AC47" i="15" s="1"/>
  <c r="AA48" i="15"/>
  <c r="AE48" i="15" s="1"/>
  <c r="AA49" i="15"/>
  <c r="AC49" i="15" s="1"/>
  <c r="AA50" i="15"/>
  <c r="AE50" i="15" s="1"/>
  <c r="AA51" i="15"/>
  <c r="AC51" i="15" s="1"/>
  <c r="AA52" i="15"/>
  <c r="AE52" i="15" s="1"/>
  <c r="AA53" i="15"/>
  <c r="AC53" i="15" s="1"/>
  <c r="AA54" i="15"/>
  <c r="AE54" i="15" s="1"/>
  <c r="AA55" i="15"/>
  <c r="AC55" i="15" s="1"/>
  <c r="AA56" i="15"/>
  <c r="AE56" i="15" s="1"/>
  <c r="AA57" i="15"/>
  <c r="AC57" i="15" s="1"/>
  <c r="AA58" i="15"/>
  <c r="AE58" i="15" s="1"/>
  <c r="AA59" i="15"/>
  <c r="AC59" i="15" s="1"/>
  <c r="AA60" i="15"/>
  <c r="AE60" i="15" s="1"/>
  <c r="AA61" i="15"/>
  <c r="AC61" i="15" s="1"/>
  <c r="AA62" i="15"/>
  <c r="AE62" i="15" s="1"/>
  <c r="AA63" i="15"/>
  <c r="AC63" i="15" s="1"/>
  <c r="AA64" i="15"/>
  <c r="AE64" i="15" s="1"/>
  <c r="AA65" i="15"/>
  <c r="AC65" i="15" s="1"/>
  <c r="AA66" i="15"/>
  <c r="AE66" i="15" s="1"/>
  <c r="AA67" i="15"/>
  <c r="AC67" i="15" s="1"/>
  <c r="AA68" i="15"/>
  <c r="AE68" i="15" s="1"/>
  <c r="AA69" i="15"/>
  <c r="AE69" i="15" s="1"/>
  <c r="AA70" i="15"/>
  <c r="AE70" i="15" s="1"/>
  <c r="AA71" i="15"/>
  <c r="AE71" i="15" s="1"/>
  <c r="AA72" i="15"/>
  <c r="AA73" i="15"/>
  <c r="AE73" i="15" s="1"/>
  <c r="AA74" i="15"/>
  <c r="AE74" i="15" s="1"/>
  <c r="AA75" i="15"/>
  <c r="AE75" i="15" s="1"/>
  <c r="AA76" i="15"/>
  <c r="AE76" i="15" s="1"/>
  <c r="AA77" i="15"/>
  <c r="AE77" i="15" s="1"/>
  <c r="AA78" i="15"/>
  <c r="AE78" i="15" s="1"/>
  <c r="AA79" i="15"/>
  <c r="AE79" i="15" s="1"/>
  <c r="AA80" i="15"/>
  <c r="AE80" i="15" s="1"/>
  <c r="AA81" i="15"/>
  <c r="AE81" i="15" s="1"/>
  <c r="AA82" i="15"/>
  <c r="AE82" i="15" s="1"/>
  <c r="AA83" i="15"/>
  <c r="AE83" i="15" s="1"/>
  <c r="AA84" i="15"/>
  <c r="AE84" i="15" s="1"/>
  <c r="AA85" i="15"/>
  <c r="AE85" i="15" s="1"/>
  <c r="AA86" i="15"/>
  <c r="AE86" i="15" s="1"/>
  <c r="AA87" i="15"/>
  <c r="AE87" i="15" s="1"/>
  <c r="AA88" i="15"/>
  <c r="AE88" i="15" s="1"/>
  <c r="AA89" i="15"/>
  <c r="AE89" i="15" s="1"/>
  <c r="AA90" i="15"/>
  <c r="AE90" i="15" s="1"/>
  <c r="AA91" i="15"/>
  <c r="AE91" i="15" s="1"/>
  <c r="AA92" i="15"/>
  <c r="AE92" i="15" s="1"/>
  <c r="AA93" i="15"/>
  <c r="AE93" i="15" s="1"/>
  <c r="AA94" i="15"/>
  <c r="AE94" i="15" s="1"/>
  <c r="AA95" i="15"/>
  <c r="AE95" i="15" s="1"/>
  <c r="AA96" i="15"/>
  <c r="AE96" i="15" s="1"/>
  <c r="AA97" i="15"/>
  <c r="AE97" i="15" s="1"/>
  <c r="AA98" i="15"/>
  <c r="AE98" i="15" s="1"/>
  <c r="AA99" i="15"/>
  <c r="AE99" i="15" s="1"/>
  <c r="AA100" i="15"/>
  <c r="AE100" i="15" s="1"/>
  <c r="AA101" i="15"/>
  <c r="AE101" i="15" s="1"/>
  <c r="AA102" i="15"/>
  <c r="AE102" i="15" s="1"/>
  <c r="AA103" i="15"/>
  <c r="AE103" i="15" s="1"/>
  <c r="AA104" i="15"/>
  <c r="AE104" i="15" s="1"/>
  <c r="AA105" i="15"/>
  <c r="AE105" i="15" s="1"/>
  <c r="AA106" i="15"/>
  <c r="AE106" i="15" s="1"/>
  <c r="AA107" i="15"/>
  <c r="AE107" i="15" s="1"/>
  <c r="AA108" i="15"/>
  <c r="AE108" i="15" s="1"/>
  <c r="AA109" i="15"/>
  <c r="AE109" i="15" s="1"/>
  <c r="AA110" i="15"/>
  <c r="AE110" i="15" s="1"/>
  <c r="AA111" i="15"/>
  <c r="AE111" i="15" s="1"/>
  <c r="AA112" i="15"/>
  <c r="AE112" i="15" s="1"/>
  <c r="AA113" i="15"/>
  <c r="AE113" i="15" s="1"/>
  <c r="AA114" i="15"/>
  <c r="AE114" i="15" s="1"/>
  <c r="AA115" i="15"/>
  <c r="AE115" i="15" s="1"/>
  <c r="AA116" i="15"/>
  <c r="AE116" i="15" s="1"/>
  <c r="AA117" i="15"/>
  <c r="AE117" i="15" s="1"/>
  <c r="AA118" i="15"/>
  <c r="AE118" i="15" s="1"/>
  <c r="AA119" i="15"/>
  <c r="AE119" i="15" s="1"/>
  <c r="AA120" i="15"/>
  <c r="AE120" i="15" s="1"/>
  <c r="AA121" i="15"/>
  <c r="AE121" i="15" s="1"/>
  <c r="AA122" i="15"/>
  <c r="AE122" i="15" s="1"/>
  <c r="AA123" i="15"/>
  <c r="AE123" i="15" s="1"/>
  <c r="AA124" i="15"/>
  <c r="AE124" i="15" s="1"/>
  <c r="AA125" i="15"/>
  <c r="AE125" i="15" s="1"/>
  <c r="AA126" i="15"/>
  <c r="AE126" i="15" s="1"/>
  <c r="AA127" i="15"/>
  <c r="AE127" i="15" s="1"/>
  <c r="AA128" i="15"/>
  <c r="AE128" i="15" s="1"/>
  <c r="AA129" i="15"/>
  <c r="AE129" i="15" s="1"/>
  <c r="AA130" i="15"/>
  <c r="AE130" i="15" s="1"/>
  <c r="AA131" i="15"/>
  <c r="AE131" i="15" s="1"/>
  <c r="AA132" i="15"/>
  <c r="AE132" i="15" s="1"/>
  <c r="AA133" i="15"/>
  <c r="AE133" i="15" s="1"/>
  <c r="AA134" i="15"/>
  <c r="AE134" i="15" s="1"/>
  <c r="AA135" i="15"/>
  <c r="AE135" i="15" s="1"/>
  <c r="AA136" i="15"/>
  <c r="AE136" i="15" s="1"/>
  <c r="AA137" i="15"/>
  <c r="AE137" i="15" s="1"/>
  <c r="AA138" i="15"/>
  <c r="AE138" i="15" s="1"/>
  <c r="AA139" i="15"/>
  <c r="AE139" i="15" s="1"/>
  <c r="AA140" i="15"/>
  <c r="AE140" i="15" s="1"/>
  <c r="AA141" i="15"/>
  <c r="AE141" i="15" s="1"/>
  <c r="AA142" i="15"/>
  <c r="AE142" i="15" s="1"/>
  <c r="AA143" i="15"/>
  <c r="AE143" i="15" s="1"/>
  <c r="AA144" i="15"/>
  <c r="AE144" i="15" s="1"/>
  <c r="AA145" i="15"/>
  <c r="AE145" i="15" s="1"/>
  <c r="AA146" i="15"/>
  <c r="AE146" i="15" s="1"/>
  <c r="AA147" i="15"/>
  <c r="AE147" i="15" s="1"/>
  <c r="AA148" i="15"/>
  <c r="AE148" i="15" s="1"/>
  <c r="AA149" i="15"/>
  <c r="AE149" i="15" s="1"/>
  <c r="AA150" i="15"/>
  <c r="AE150" i="15" s="1"/>
  <c r="AA151" i="15"/>
  <c r="AE151" i="15" s="1"/>
  <c r="AA152" i="15"/>
  <c r="AE152" i="15" s="1"/>
  <c r="AA153" i="15"/>
  <c r="AE153" i="15" s="1"/>
  <c r="AA154" i="15"/>
  <c r="AE154" i="15" s="1"/>
  <c r="AA155" i="15"/>
  <c r="AE155" i="15" s="1"/>
  <c r="AA156" i="15"/>
  <c r="AE156" i="15" s="1"/>
  <c r="AA157" i="15"/>
  <c r="AE157" i="15" s="1"/>
  <c r="AA158" i="15"/>
  <c r="AE158" i="15" s="1"/>
  <c r="AA159" i="15"/>
  <c r="AE159" i="15" s="1"/>
  <c r="AA160" i="15"/>
  <c r="AE160" i="15" s="1"/>
  <c r="AA161" i="15"/>
  <c r="AE161" i="15" s="1"/>
  <c r="AA162" i="15"/>
  <c r="AE162" i="15" s="1"/>
  <c r="AA163" i="15"/>
  <c r="AE163" i="15" s="1"/>
  <c r="AA164" i="15"/>
  <c r="AE164" i="15" s="1"/>
  <c r="AA165" i="15"/>
  <c r="AE165" i="15" s="1"/>
  <c r="AA166" i="15"/>
  <c r="AE166" i="15" s="1"/>
  <c r="AA167" i="15"/>
  <c r="AE167" i="15" s="1"/>
  <c r="AA168" i="15"/>
  <c r="AE168" i="15" s="1"/>
  <c r="AA169" i="15"/>
  <c r="AE169" i="15" s="1"/>
  <c r="AA170" i="15"/>
  <c r="AE170" i="15" s="1"/>
  <c r="AA171" i="15"/>
  <c r="AE171" i="15" s="1"/>
  <c r="AA172" i="15"/>
  <c r="AE172" i="15" s="1"/>
  <c r="AA173" i="15"/>
  <c r="AE173" i="15" s="1"/>
  <c r="AA174" i="15"/>
  <c r="AC174" i="15" s="1"/>
  <c r="AA175" i="15"/>
  <c r="AE175" i="15" s="1"/>
  <c r="AA176" i="15"/>
  <c r="AC176" i="15" s="1"/>
  <c r="AA177" i="15"/>
  <c r="AE177" i="15" s="1"/>
  <c r="AA178" i="15"/>
  <c r="AC178" i="15" s="1"/>
  <c r="AA179" i="15"/>
  <c r="AE179" i="15" s="1"/>
  <c r="AA180" i="15"/>
  <c r="AC180" i="15" s="1"/>
  <c r="AA181" i="15"/>
  <c r="AE181" i="15" s="1"/>
  <c r="AA182" i="15"/>
  <c r="AC182" i="15" s="1"/>
  <c r="AA183" i="15"/>
  <c r="AE183" i="15" s="1"/>
  <c r="AA184" i="15"/>
  <c r="AC184" i="15" s="1"/>
  <c r="AA185" i="15"/>
  <c r="AE185" i="15" s="1"/>
  <c r="AA186" i="15"/>
  <c r="AC186" i="15" s="1"/>
  <c r="AA187" i="15"/>
  <c r="AE187" i="15" s="1"/>
  <c r="AA188" i="15"/>
  <c r="AC188" i="15" s="1"/>
  <c r="AA189" i="15"/>
  <c r="AE189" i="15" s="1"/>
  <c r="AA190" i="15"/>
  <c r="AA191" i="15"/>
  <c r="AE191" i="15" s="1"/>
  <c r="AA192" i="15"/>
  <c r="AE192" i="15" s="1"/>
  <c r="AA193" i="15"/>
  <c r="AE193" i="15" s="1"/>
  <c r="AA194" i="15"/>
  <c r="AA195" i="15"/>
  <c r="AE195" i="15" s="1"/>
  <c r="AA196" i="15"/>
  <c r="AA197" i="15"/>
  <c r="AE197" i="15" s="1"/>
  <c r="AA198" i="15"/>
  <c r="AC198" i="15" s="1"/>
  <c r="AA199" i="15"/>
  <c r="AE199" i="15" s="1"/>
  <c r="AA200" i="15"/>
  <c r="AC200" i="15" s="1"/>
  <c r="AA201" i="15"/>
  <c r="AE201" i="15" s="1"/>
  <c r="AA202" i="15"/>
  <c r="AC202" i="15" s="1"/>
  <c r="AA203" i="15"/>
  <c r="AE203" i="15" s="1"/>
  <c r="AA204" i="15"/>
  <c r="AC204" i="15" s="1"/>
  <c r="AA205" i="15"/>
  <c r="AE205" i="15" s="1"/>
  <c r="AA206" i="15"/>
  <c r="AC206" i="15" s="1"/>
  <c r="AA207" i="15"/>
  <c r="AE207" i="15" s="1"/>
  <c r="AA208" i="15"/>
  <c r="AC208" i="15" s="1"/>
  <c r="AA209" i="15"/>
  <c r="AE209" i="15" s="1"/>
  <c r="AA210" i="15"/>
  <c r="AC210" i="15" s="1"/>
  <c r="AA211" i="15"/>
  <c r="AE211" i="15" s="1"/>
  <c r="AA212" i="15"/>
  <c r="AC212" i="15" s="1"/>
  <c r="AA213" i="15"/>
  <c r="AE213" i="15" s="1"/>
  <c r="AA214" i="15"/>
  <c r="AC214" i="15" s="1"/>
  <c r="AA215" i="15"/>
  <c r="AE215" i="15" s="1"/>
  <c r="AA216" i="15"/>
  <c r="AC216" i="15" s="1"/>
  <c r="AA217" i="15"/>
  <c r="AE217" i="15" s="1"/>
  <c r="AA218" i="15"/>
  <c r="AC218" i="15" s="1"/>
  <c r="AA219" i="15"/>
  <c r="AE219" i="15" s="1"/>
  <c r="AA220" i="15"/>
  <c r="AC220" i="15" s="1"/>
  <c r="AA221" i="15"/>
  <c r="AE221" i="15" s="1"/>
  <c r="AA222" i="15"/>
  <c r="AC222" i="15" s="1"/>
  <c r="AA223" i="15"/>
  <c r="AE223" i="15" s="1"/>
  <c r="AA224" i="15"/>
  <c r="AC224" i="15" s="1"/>
  <c r="AA225" i="15"/>
  <c r="AE225" i="15" s="1"/>
  <c r="AA226" i="15"/>
  <c r="AC226" i="15" s="1"/>
  <c r="AA227" i="15"/>
  <c r="AE227" i="15" s="1"/>
  <c r="AA228" i="15"/>
  <c r="AC228" i="15" s="1"/>
  <c r="AA229" i="15"/>
  <c r="AE229" i="15" s="1"/>
  <c r="AA230" i="15"/>
  <c r="AC230" i="15" s="1"/>
  <c r="AA231" i="15"/>
  <c r="AE231" i="15" s="1"/>
  <c r="AA232" i="15"/>
  <c r="AC232" i="15" s="1"/>
  <c r="AA233" i="15"/>
  <c r="AE233" i="15" s="1"/>
  <c r="AA234" i="15"/>
  <c r="AC234" i="15" s="1"/>
  <c r="AA235" i="15"/>
  <c r="AE235" i="15" s="1"/>
  <c r="AA236" i="15"/>
  <c r="AC236" i="15" s="1"/>
  <c r="AA237" i="15"/>
  <c r="AE237" i="15" s="1"/>
  <c r="AA238" i="15"/>
  <c r="AC238" i="15" s="1"/>
  <c r="AA239" i="15"/>
  <c r="AE239" i="15" s="1"/>
  <c r="AA240" i="15"/>
  <c r="AC240" i="15" s="1"/>
  <c r="AA241" i="15"/>
  <c r="AE241" i="15" s="1"/>
  <c r="AA242" i="15"/>
  <c r="AC242" i="15" s="1"/>
  <c r="AA243" i="15"/>
  <c r="AE243" i="15" s="1"/>
  <c r="AA244" i="15"/>
  <c r="AC244" i="15" s="1"/>
  <c r="AA245" i="15"/>
  <c r="AE245" i="15" s="1"/>
  <c r="AA246" i="15"/>
  <c r="AC246" i="15" s="1"/>
  <c r="AA247" i="15"/>
  <c r="AE247" i="15" s="1"/>
  <c r="AA248" i="15"/>
  <c r="AC248" i="15" s="1"/>
  <c r="AA249" i="15"/>
  <c r="AE249" i="15" s="1"/>
  <c r="AA250" i="15"/>
  <c r="AC250" i="15" s="1"/>
  <c r="AA251" i="15"/>
  <c r="AE251" i="15" s="1"/>
  <c r="AA252" i="15"/>
  <c r="AC252" i="15" s="1"/>
  <c r="AA253" i="15"/>
  <c r="AE253" i="15" s="1"/>
  <c r="AA254" i="15"/>
  <c r="AC254" i="15" s="1"/>
  <c r="AA255" i="15"/>
  <c r="AE255" i="15" s="1"/>
  <c r="AA256" i="15"/>
  <c r="AC256" i="15" s="1"/>
  <c r="AA257" i="15"/>
  <c r="AE257" i="15" s="1"/>
  <c r="AA258" i="15"/>
  <c r="AC258" i="15" s="1"/>
  <c r="AA259" i="15"/>
  <c r="AE259" i="15" s="1"/>
  <c r="AA260" i="15"/>
  <c r="AC260" i="15" s="1"/>
  <c r="AA261" i="15"/>
  <c r="AE261" i="15" s="1"/>
  <c r="AA262" i="15"/>
  <c r="AC262" i="15" s="1"/>
  <c r="AA263" i="15"/>
  <c r="AE263" i="15" s="1"/>
  <c r="AA264" i="15"/>
  <c r="AC264" i="15" s="1"/>
  <c r="AA265" i="15"/>
  <c r="AE265" i="15" s="1"/>
  <c r="AA266" i="15"/>
  <c r="AC266" i="15" s="1"/>
  <c r="AA267" i="15"/>
  <c r="AE267" i="15" s="1"/>
  <c r="AA268" i="15"/>
  <c r="AC268" i="15" s="1"/>
  <c r="AA269" i="15"/>
  <c r="AE269" i="15" s="1"/>
  <c r="AA270" i="15"/>
  <c r="AC270" i="15" s="1"/>
  <c r="AA271" i="15"/>
  <c r="AE271" i="15" s="1"/>
  <c r="AA272" i="15"/>
  <c r="AC272" i="15" s="1"/>
  <c r="AA273" i="15"/>
  <c r="AE273" i="15" s="1"/>
  <c r="AA274" i="15"/>
  <c r="AC274" i="15" s="1"/>
  <c r="AA275" i="15"/>
  <c r="AE275" i="15" s="1"/>
  <c r="AA276" i="15"/>
  <c r="AC276" i="15" s="1"/>
  <c r="AA277" i="15"/>
  <c r="AE277" i="15" s="1"/>
  <c r="AA278" i="15"/>
  <c r="AC278" i="15" s="1"/>
  <c r="AA279" i="15"/>
  <c r="AE279" i="15" s="1"/>
  <c r="AA280" i="15"/>
  <c r="AC280" i="15" s="1"/>
  <c r="AA281" i="15"/>
  <c r="AE281" i="15" s="1"/>
  <c r="AA282" i="15"/>
  <c r="AC282" i="15" s="1"/>
  <c r="AA283" i="15"/>
  <c r="AE283" i="15" s="1"/>
  <c r="AA284" i="15"/>
  <c r="AC284" i="15" s="1"/>
  <c r="AA285" i="15"/>
  <c r="AE285" i="15" s="1"/>
  <c r="AA286" i="15"/>
  <c r="AC286" i="15" s="1"/>
  <c r="AA287" i="15"/>
  <c r="AE287" i="15" s="1"/>
  <c r="AA288" i="15"/>
  <c r="AC288" i="15" s="1"/>
  <c r="AA289" i="15"/>
  <c r="AE289" i="15" s="1"/>
  <c r="AA290" i="15"/>
  <c r="AC290" i="15" s="1"/>
  <c r="AA291" i="15"/>
  <c r="AE291" i="15" s="1"/>
  <c r="AA292" i="15"/>
  <c r="AA293" i="15"/>
  <c r="AE293" i="15" s="1"/>
  <c r="AA294" i="15"/>
  <c r="AC294" i="15" s="1"/>
  <c r="AA295" i="15"/>
  <c r="AE295" i="15" s="1"/>
  <c r="AA296" i="15"/>
  <c r="AA297" i="15"/>
  <c r="AA298" i="15"/>
  <c r="AE298" i="15" s="1"/>
  <c r="AA299" i="15"/>
  <c r="AE299" i="15" s="1"/>
  <c r="AA300" i="15"/>
  <c r="AA301" i="15"/>
  <c r="AE301" i="15" s="1"/>
  <c r="AA302" i="15"/>
  <c r="AE302" i="15" s="1"/>
  <c r="AA303" i="15"/>
  <c r="AE303" i="15" s="1"/>
  <c r="AA304" i="15"/>
  <c r="AE304" i="15" s="1"/>
  <c r="AA305" i="15"/>
  <c r="AE305" i="15" s="1"/>
  <c r="AA306" i="15"/>
  <c r="AE306" i="15" s="1"/>
  <c r="AA307" i="15"/>
  <c r="AE307" i="15" s="1"/>
  <c r="AA308" i="15"/>
  <c r="AC308" i="15" s="1"/>
  <c r="AA309" i="15"/>
  <c r="AE309" i="15" s="1"/>
  <c r="AA310" i="15"/>
  <c r="AC310" i="15" s="1"/>
  <c r="AA311" i="15"/>
  <c r="AE311" i="15" s="1"/>
  <c r="AA312" i="15"/>
  <c r="AC312" i="15" s="1"/>
  <c r="AA313" i="15"/>
  <c r="AE313" i="15" s="1"/>
  <c r="AA314" i="15"/>
  <c r="AA315" i="15"/>
  <c r="AE315" i="15" s="1"/>
  <c r="AA316" i="15"/>
  <c r="AE316" i="15" s="1"/>
  <c r="AA317" i="15"/>
  <c r="AE317" i="15" s="1"/>
  <c r="AA318" i="15"/>
  <c r="AC318" i="15" s="1"/>
  <c r="AA319" i="15"/>
  <c r="AE319" i="15" s="1"/>
  <c r="AA320" i="15"/>
  <c r="AA321" i="15"/>
  <c r="AE321" i="15" s="1"/>
  <c r="AA322" i="15"/>
  <c r="AC322" i="15" s="1"/>
  <c r="AA323" i="15"/>
  <c r="AC323" i="15" s="1"/>
  <c r="AA324" i="15"/>
  <c r="AA325" i="15"/>
  <c r="AE325" i="15" s="1"/>
  <c r="AA326" i="15"/>
  <c r="AE326" i="15" s="1"/>
  <c r="AA327" i="15"/>
  <c r="AE327" i="15" s="1"/>
  <c r="AA328" i="15"/>
  <c r="AC328" i="15" s="1"/>
  <c r="AA329" i="15"/>
  <c r="AE329" i="15" s="1"/>
  <c r="AD29" i="15"/>
  <c r="AD30" i="15"/>
  <c r="AD31" i="15"/>
  <c r="AD32" i="15"/>
  <c r="AD33" i="15"/>
  <c r="AD34" i="15"/>
  <c r="AD35" i="15"/>
  <c r="AD36" i="15"/>
  <c r="AD37" i="15"/>
  <c r="AD38" i="15"/>
  <c r="AD39" i="15"/>
  <c r="AD40" i="15"/>
  <c r="AD41" i="15"/>
  <c r="AD42" i="15"/>
  <c r="AD43" i="15"/>
  <c r="AD44" i="15"/>
  <c r="AD45" i="15"/>
  <c r="AD46" i="15"/>
  <c r="AD47" i="15"/>
  <c r="AD48" i="15"/>
  <c r="AD49" i="15"/>
  <c r="AD50" i="15"/>
  <c r="AD51" i="15"/>
  <c r="AD52" i="15"/>
  <c r="AD53" i="15"/>
  <c r="AD54" i="15"/>
  <c r="AD55" i="15"/>
  <c r="AD56" i="15"/>
  <c r="AD57" i="15"/>
  <c r="AD58" i="15"/>
  <c r="AD59" i="15"/>
  <c r="AD60" i="15"/>
  <c r="AD61" i="15"/>
  <c r="AD62" i="15"/>
  <c r="AD63" i="15"/>
  <c r="AD64" i="15"/>
  <c r="AD65" i="15"/>
  <c r="AD66" i="15"/>
  <c r="AD67" i="15"/>
  <c r="AD68" i="15"/>
  <c r="AD69" i="15"/>
  <c r="AD70" i="15"/>
  <c r="AD71" i="15"/>
  <c r="AD72" i="15"/>
  <c r="AD73" i="15"/>
  <c r="AD74" i="15"/>
  <c r="AD75" i="15"/>
  <c r="AD76" i="15"/>
  <c r="AD77" i="15"/>
  <c r="AD78" i="15"/>
  <c r="AD79" i="15"/>
  <c r="AD80" i="15"/>
  <c r="AD81" i="15"/>
  <c r="AD82" i="15"/>
  <c r="AD83" i="15"/>
  <c r="AD84" i="15"/>
  <c r="AD85" i="15"/>
  <c r="AD86" i="15"/>
  <c r="AD87" i="15"/>
  <c r="AD88" i="15"/>
  <c r="AD89" i="15"/>
  <c r="AD90" i="15"/>
  <c r="AD91" i="15"/>
  <c r="AD92" i="15"/>
  <c r="AD93" i="15"/>
  <c r="AD94" i="15"/>
  <c r="AD95" i="15"/>
  <c r="AD96" i="15"/>
  <c r="AD97" i="15"/>
  <c r="AD98" i="15"/>
  <c r="AD99" i="15"/>
  <c r="AD100" i="15"/>
  <c r="AD101" i="15"/>
  <c r="AD102" i="15"/>
  <c r="AD103" i="15"/>
  <c r="AD104" i="15"/>
  <c r="AD105" i="15"/>
  <c r="AD106" i="15"/>
  <c r="AD107" i="15"/>
  <c r="AD108" i="15"/>
  <c r="AD109" i="15"/>
  <c r="AD110" i="15"/>
  <c r="AD111" i="15"/>
  <c r="AD112" i="15"/>
  <c r="AD113" i="15"/>
  <c r="AD114" i="15"/>
  <c r="AD115" i="15"/>
  <c r="AD116" i="15"/>
  <c r="AD117" i="15"/>
  <c r="AD118" i="15"/>
  <c r="AD119" i="15"/>
  <c r="AD120" i="15"/>
  <c r="AD121" i="15"/>
  <c r="AD122" i="15"/>
  <c r="AD123" i="15"/>
  <c r="AD124" i="15"/>
  <c r="AD125" i="15"/>
  <c r="AD126" i="15"/>
  <c r="AD127" i="15"/>
  <c r="AD128" i="15"/>
  <c r="AD129" i="15"/>
  <c r="AD130" i="15"/>
  <c r="AD131" i="15"/>
  <c r="AD132" i="15"/>
  <c r="AD133" i="15"/>
  <c r="AD134" i="15"/>
  <c r="AD135" i="15"/>
  <c r="AD136" i="15"/>
  <c r="AD137" i="15"/>
  <c r="AD138" i="15"/>
  <c r="AD139" i="15"/>
  <c r="AD140" i="15"/>
  <c r="AD141" i="15"/>
  <c r="AD142" i="15"/>
  <c r="AD143" i="15"/>
  <c r="AD144" i="15"/>
  <c r="AD145" i="15"/>
  <c r="AD146" i="15"/>
  <c r="AD147" i="15"/>
  <c r="AD148" i="15"/>
  <c r="AD149" i="15"/>
  <c r="AD150" i="15"/>
  <c r="AD151" i="15"/>
  <c r="AD152" i="15"/>
  <c r="AD153" i="15"/>
  <c r="AD154" i="15"/>
  <c r="AD155" i="15"/>
  <c r="AD156" i="15"/>
  <c r="AD157" i="15"/>
  <c r="AD158" i="15"/>
  <c r="AD159" i="15"/>
  <c r="AD160" i="15"/>
  <c r="AD161" i="15"/>
  <c r="AD162" i="15"/>
  <c r="AD163" i="15"/>
  <c r="AD164" i="15"/>
  <c r="AD165" i="15"/>
  <c r="AD166" i="15"/>
  <c r="AD167" i="15"/>
  <c r="AD168" i="15"/>
  <c r="AD169" i="15"/>
  <c r="AD170" i="15"/>
  <c r="AD171" i="15"/>
  <c r="AD172" i="15"/>
  <c r="AD173" i="15"/>
  <c r="AD174" i="15"/>
  <c r="AD175" i="15"/>
  <c r="AD176" i="15"/>
  <c r="AD177" i="15"/>
  <c r="AD178" i="15"/>
  <c r="AD179" i="15"/>
  <c r="AD180" i="15"/>
  <c r="AD181" i="15"/>
  <c r="AD182" i="15"/>
  <c r="AD183" i="15"/>
  <c r="AD184" i="15"/>
  <c r="AD185" i="15"/>
  <c r="AD186" i="15"/>
  <c r="AD187" i="15"/>
  <c r="AD188" i="15"/>
  <c r="AD189" i="15"/>
  <c r="AD190" i="15"/>
  <c r="AD191" i="15"/>
  <c r="AD192" i="15"/>
  <c r="AD193" i="15"/>
  <c r="AD194" i="15"/>
  <c r="AD195" i="15"/>
  <c r="AD196" i="15"/>
  <c r="AD197" i="15"/>
  <c r="AD198" i="15"/>
  <c r="AD199" i="15"/>
  <c r="AD200" i="15"/>
  <c r="AD201" i="15"/>
  <c r="AD202" i="15"/>
  <c r="AD203" i="15"/>
  <c r="AD204" i="15"/>
  <c r="AD205" i="15"/>
  <c r="AD206" i="15"/>
  <c r="AD207" i="15"/>
  <c r="AD208" i="15"/>
  <c r="AD209" i="15"/>
  <c r="AD210" i="15"/>
  <c r="AD211" i="15"/>
  <c r="AD212" i="15"/>
  <c r="AD213" i="15"/>
  <c r="AD214" i="15"/>
  <c r="AD215" i="15"/>
  <c r="AD216" i="15"/>
  <c r="AD217" i="15"/>
  <c r="AD218" i="15"/>
  <c r="AD219" i="15"/>
  <c r="AD220" i="15"/>
  <c r="AD221" i="15"/>
  <c r="AD222" i="15"/>
  <c r="AD223" i="15"/>
  <c r="AD224" i="15"/>
  <c r="AD225" i="15"/>
  <c r="AD226" i="15"/>
  <c r="AD227" i="15"/>
  <c r="AD228" i="15"/>
  <c r="AD229" i="15"/>
  <c r="AD230" i="15"/>
  <c r="AD231" i="15"/>
  <c r="AD232" i="15"/>
  <c r="AD233" i="15"/>
  <c r="AD234" i="15"/>
  <c r="AD235" i="15"/>
  <c r="AD236" i="15"/>
  <c r="AD237" i="15"/>
  <c r="AD238" i="15"/>
  <c r="AD239" i="15"/>
  <c r="AD240" i="15"/>
  <c r="AD241" i="15"/>
  <c r="AD242" i="15"/>
  <c r="AD243" i="15"/>
  <c r="AD244" i="15"/>
  <c r="AD245" i="15"/>
  <c r="AD246" i="15"/>
  <c r="AD247" i="15"/>
  <c r="AD248" i="15"/>
  <c r="AD249" i="15"/>
  <c r="AD250" i="15"/>
  <c r="AD251" i="15"/>
  <c r="AD252" i="15"/>
  <c r="AD253" i="15"/>
  <c r="AD254" i="15"/>
  <c r="AD255" i="15"/>
  <c r="AD256" i="15"/>
  <c r="AD257" i="15"/>
  <c r="AD258" i="15"/>
  <c r="AD259" i="15"/>
  <c r="AD260" i="15"/>
  <c r="AD261" i="15"/>
  <c r="AD262" i="15"/>
  <c r="AD263" i="15"/>
  <c r="AD264" i="15"/>
  <c r="AD265" i="15"/>
  <c r="AD266" i="15"/>
  <c r="AD267" i="15"/>
  <c r="AD268" i="15"/>
  <c r="AD269" i="15"/>
  <c r="AD270" i="15"/>
  <c r="AD271" i="15"/>
  <c r="AD272" i="15"/>
  <c r="AD273" i="15"/>
  <c r="AD274" i="15"/>
  <c r="AD275" i="15"/>
  <c r="AD276" i="15"/>
  <c r="AD277" i="15"/>
  <c r="AD278" i="15"/>
  <c r="AD279" i="15"/>
  <c r="AD280" i="15"/>
  <c r="AD281" i="15"/>
  <c r="AD282" i="15"/>
  <c r="AD283" i="15"/>
  <c r="AD284" i="15"/>
  <c r="AD285" i="15"/>
  <c r="AD286" i="15"/>
  <c r="AD287" i="15"/>
  <c r="AD288" i="15"/>
  <c r="AD289" i="15"/>
  <c r="AD290" i="15"/>
  <c r="AD291" i="15"/>
  <c r="AD292" i="15"/>
  <c r="AD293" i="15"/>
  <c r="AD294" i="15"/>
  <c r="AD295" i="15"/>
  <c r="AD296" i="15"/>
  <c r="AD297" i="15"/>
  <c r="AD298" i="15"/>
  <c r="AD299" i="15"/>
  <c r="AD300" i="15"/>
  <c r="AD301" i="15"/>
  <c r="AD302" i="15"/>
  <c r="AD303" i="15"/>
  <c r="AD304" i="15"/>
  <c r="AD305" i="15"/>
  <c r="AD306" i="15"/>
  <c r="AD307" i="15"/>
  <c r="AD308" i="15"/>
  <c r="AD309" i="15"/>
  <c r="AD310" i="15"/>
  <c r="AD311" i="15"/>
  <c r="AD312" i="15"/>
  <c r="AD313" i="15"/>
  <c r="AD314" i="15"/>
  <c r="AD315" i="15"/>
  <c r="AD316" i="15"/>
  <c r="AD317" i="15"/>
  <c r="AD318" i="15"/>
  <c r="AD319" i="15"/>
  <c r="AD320" i="15"/>
  <c r="AD321" i="15"/>
  <c r="AD322" i="15"/>
  <c r="AD323" i="15"/>
  <c r="AD324" i="15"/>
  <c r="AD325" i="15"/>
  <c r="AD326" i="15"/>
  <c r="AD327" i="15"/>
  <c r="AD328" i="15"/>
  <c r="AD329" i="15"/>
  <c r="AD28" i="15"/>
  <c r="AA28" i="15"/>
  <c r="AG302" i="15" l="1"/>
  <c r="AH302" i="15"/>
  <c r="AI302" i="15"/>
  <c r="AG158" i="15"/>
  <c r="AH158" i="15"/>
  <c r="AI158" i="15"/>
  <c r="AG325" i="15"/>
  <c r="AH325" i="15"/>
  <c r="AI325" i="15"/>
  <c r="AG313" i="15"/>
  <c r="AH313" i="15"/>
  <c r="AI313" i="15"/>
  <c r="AG301" i="15"/>
  <c r="AH301" i="15"/>
  <c r="AI301" i="15"/>
  <c r="AG289" i="15"/>
  <c r="AH289" i="15"/>
  <c r="AI289" i="15"/>
  <c r="AG277" i="15"/>
  <c r="AH277" i="15"/>
  <c r="AI277" i="15"/>
  <c r="AG265" i="15"/>
  <c r="AH265" i="15"/>
  <c r="AI265" i="15"/>
  <c r="AG253" i="15"/>
  <c r="AH253" i="15"/>
  <c r="AI253" i="15"/>
  <c r="AG241" i="15"/>
  <c r="AH241" i="15"/>
  <c r="AI241" i="15"/>
  <c r="AG229" i="15"/>
  <c r="AH229" i="15"/>
  <c r="AI229" i="15"/>
  <c r="AG217" i="15"/>
  <c r="AH217" i="15"/>
  <c r="AI217" i="15"/>
  <c r="AG205" i="15"/>
  <c r="AH205" i="15"/>
  <c r="AI205" i="15"/>
  <c r="AG193" i="15"/>
  <c r="AH193" i="15"/>
  <c r="AI193" i="15"/>
  <c r="AG181" i="15"/>
  <c r="AH181" i="15"/>
  <c r="AI181" i="15"/>
  <c r="AG169" i="15"/>
  <c r="AH169" i="15"/>
  <c r="AI169" i="15"/>
  <c r="AG157" i="15"/>
  <c r="AH157" i="15"/>
  <c r="AI157" i="15"/>
  <c r="AG145" i="15"/>
  <c r="AH145" i="15"/>
  <c r="AI145" i="15"/>
  <c r="AG133" i="15"/>
  <c r="AH133" i="15"/>
  <c r="AI133" i="15"/>
  <c r="AG121" i="15"/>
  <c r="AH121" i="15"/>
  <c r="AI121" i="15"/>
  <c r="AG109" i="15"/>
  <c r="AH109" i="15"/>
  <c r="AI109" i="15"/>
  <c r="AG97" i="15"/>
  <c r="AH97" i="15"/>
  <c r="AI97" i="15"/>
  <c r="AG85" i="15"/>
  <c r="AH85" i="15"/>
  <c r="AI85" i="15"/>
  <c r="AG73" i="15"/>
  <c r="AH73" i="15"/>
  <c r="AI73" i="15"/>
  <c r="AG61" i="15"/>
  <c r="AG49" i="15"/>
  <c r="AG37" i="15"/>
  <c r="AG266" i="15"/>
  <c r="AG194" i="15"/>
  <c r="AG98" i="15"/>
  <c r="AH98" i="15"/>
  <c r="AI98" i="15"/>
  <c r="AG50" i="15"/>
  <c r="AH50" i="15"/>
  <c r="AI50" i="15"/>
  <c r="AG264" i="15"/>
  <c r="AG192" i="15"/>
  <c r="AH192" i="15"/>
  <c r="AI192" i="15"/>
  <c r="AG180" i="15"/>
  <c r="AG168" i="15"/>
  <c r="AH168" i="15"/>
  <c r="AI168" i="15"/>
  <c r="AG156" i="15"/>
  <c r="AH156" i="15"/>
  <c r="AI156" i="15"/>
  <c r="AG144" i="15"/>
  <c r="AH144" i="15"/>
  <c r="AI144" i="15"/>
  <c r="AG132" i="15"/>
  <c r="AH132" i="15"/>
  <c r="AI132" i="15"/>
  <c r="AG120" i="15"/>
  <c r="AH120" i="15"/>
  <c r="AI120" i="15"/>
  <c r="AG108" i="15"/>
  <c r="AH108" i="15"/>
  <c r="AI108" i="15"/>
  <c r="AG96" i="15"/>
  <c r="AH96" i="15"/>
  <c r="AI96" i="15"/>
  <c r="AG84" i="15"/>
  <c r="AH84" i="15"/>
  <c r="AI84" i="15"/>
  <c r="AG72" i="15"/>
  <c r="AG60" i="15"/>
  <c r="AH60" i="15"/>
  <c r="AI60" i="15"/>
  <c r="AG48" i="15"/>
  <c r="AH48" i="15"/>
  <c r="AI48" i="15"/>
  <c r="AG36" i="15"/>
  <c r="AG254" i="15"/>
  <c r="AG146" i="15"/>
  <c r="AH146" i="15"/>
  <c r="AI146" i="15"/>
  <c r="AG38" i="15"/>
  <c r="AG240" i="15"/>
  <c r="AG311" i="15"/>
  <c r="AH311" i="15"/>
  <c r="AI311" i="15"/>
  <c r="AG275" i="15"/>
  <c r="AH275" i="15"/>
  <c r="AI275" i="15"/>
  <c r="AG251" i="15"/>
  <c r="AH251" i="15"/>
  <c r="AI251" i="15"/>
  <c r="AG227" i="15"/>
  <c r="AH227" i="15"/>
  <c r="AI227" i="15"/>
  <c r="AG203" i="15"/>
  <c r="AH203" i="15"/>
  <c r="AI203" i="15"/>
  <c r="AG191" i="15"/>
  <c r="AH191" i="15"/>
  <c r="AI191" i="15"/>
  <c r="AG179" i="15"/>
  <c r="AH179" i="15"/>
  <c r="AI179" i="15"/>
  <c r="AG167" i="15"/>
  <c r="AH167" i="15"/>
  <c r="AI167" i="15"/>
  <c r="AG155" i="15"/>
  <c r="AH155" i="15"/>
  <c r="AI155" i="15"/>
  <c r="AG143" i="15"/>
  <c r="AH143" i="15"/>
  <c r="AI143" i="15"/>
  <c r="AG131" i="15"/>
  <c r="AH131" i="15"/>
  <c r="AI131" i="15"/>
  <c r="AG119" i="15"/>
  <c r="AH119" i="15"/>
  <c r="AI119" i="15"/>
  <c r="AG107" i="15"/>
  <c r="AH107" i="15"/>
  <c r="AI107" i="15"/>
  <c r="AG95" i="15"/>
  <c r="AH95" i="15"/>
  <c r="AI95" i="15"/>
  <c r="AG83" i="15"/>
  <c r="AH83" i="15"/>
  <c r="AI83" i="15"/>
  <c r="AG71" i="15"/>
  <c r="AH71" i="15"/>
  <c r="AI71" i="15"/>
  <c r="AG59" i="15"/>
  <c r="AG47" i="15"/>
  <c r="AG35" i="15"/>
  <c r="AG278" i="15"/>
  <c r="AG170" i="15"/>
  <c r="AH170" i="15"/>
  <c r="AI170" i="15"/>
  <c r="AG276" i="15"/>
  <c r="AG299" i="15"/>
  <c r="AH299" i="15"/>
  <c r="AI299" i="15"/>
  <c r="AG263" i="15"/>
  <c r="AH263" i="15"/>
  <c r="AI263" i="15"/>
  <c r="AG239" i="15"/>
  <c r="AH239" i="15"/>
  <c r="AI239" i="15"/>
  <c r="AG310" i="15"/>
  <c r="AG298" i="15"/>
  <c r="AH298" i="15"/>
  <c r="AI298" i="15"/>
  <c r="AG286" i="15"/>
  <c r="AG274" i="15"/>
  <c r="AG262" i="15"/>
  <c r="AG250" i="15"/>
  <c r="AG238" i="15"/>
  <c r="AG226" i="15"/>
  <c r="AG214" i="15"/>
  <c r="AG202" i="15"/>
  <c r="AG190" i="15"/>
  <c r="AG178" i="15"/>
  <c r="AG166" i="15"/>
  <c r="AH166" i="15"/>
  <c r="AI166" i="15"/>
  <c r="AG154" i="15"/>
  <c r="AH154" i="15"/>
  <c r="AI154" i="15"/>
  <c r="AG142" i="15"/>
  <c r="AH142" i="15"/>
  <c r="AI142" i="15"/>
  <c r="AG130" i="15"/>
  <c r="AH130" i="15"/>
  <c r="AI130" i="15"/>
  <c r="AG118" i="15"/>
  <c r="AH118" i="15"/>
  <c r="AI118" i="15"/>
  <c r="AG106" i="15"/>
  <c r="AH106" i="15"/>
  <c r="AI106" i="15"/>
  <c r="AG94" i="15"/>
  <c r="AH94" i="15"/>
  <c r="AI94" i="15"/>
  <c r="AG82" i="15"/>
  <c r="AH82" i="15"/>
  <c r="AI82" i="15"/>
  <c r="AG70" i="15"/>
  <c r="AH70" i="15"/>
  <c r="AI70" i="15"/>
  <c r="AG58" i="15"/>
  <c r="AH58" i="15"/>
  <c r="AI58" i="15"/>
  <c r="AG46" i="15"/>
  <c r="AH46" i="15"/>
  <c r="AI46" i="15"/>
  <c r="AG34" i="15"/>
  <c r="AG182" i="15"/>
  <c r="AG324" i="15"/>
  <c r="AG228" i="15"/>
  <c r="AG287" i="15"/>
  <c r="AH287" i="15"/>
  <c r="AI287" i="15"/>
  <c r="AG215" i="15"/>
  <c r="AH215" i="15"/>
  <c r="AI215" i="15"/>
  <c r="AG322" i="15"/>
  <c r="AG321" i="15"/>
  <c r="AH321" i="15"/>
  <c r="AI321" i="15"/>
  <c r="AG309" i="15"/>
  <c r="AH309" i="15"/>
  <c r="AI309" i="15"/>
  <c r="AG297" i="15"/>
  <c r="AG285" i="15"/>
  <c r="AH285" i="15"/>
  <c r="AI285" i="15"/>
  <c r="AG273" i="15"/>
  <c r="AH273" i="15"/>
  <c r="AI273" i="15"/>
  <c r="AG261" i="15"/>
  <c r="AH261" i="15"/>
  <c r="AI261" i="15"/>
  <c r="AG249" i="15"/>
  <c r="AH249" i="15"/>
  <c r="AI249" i="15"/>
  <c r="AG237" i="15"/>
  <c r="AH237" i="15"/>
  <c r="AI237" i="15"/>
  <c r="AG225" i="15"/>
  <c r="AH225" i="15"/>
  <c r="AI225" i="15"/>
  <c r="AG213" i="15"/>
  <c r="AH213" i="15"/>
  <c r="AI213" i="15"/>
  <c r="AG201" i="15"/>
  <c r="AH201" i="15"/>
  <c r="AI201" i="15"/>
  <c r="AG189" i="15"/>
  <c r="AH189" i="15"/>
  <c r="AI189" i="15"/>
  <c r="AG177" i="15"/>
  <c r="AH177" i="15"/>
  <c r="AI177" i="15"/>
  <c r="AG165" i="15"/>
  <c r="AH165" i="15"/>
  <c r="AI165" i="15"/>
  <c r="AG153" i="15"/>
  <c r="AH153" i="15"/>
  <c r="AI153" i="15"/>
  <c r="AG141" i="15"/>
  <c r="AH141" i="15"/>
  <c r="AI141" i="15"/>
  <c r="AG129" i="15"/>
  <c r="AH129" i="15"/>
  <c r="AI129" i="15"/>
  <c r="AG117" i="15"/>
  <c r="AH117" i="15"/>
  <c r="AI117" i="15"/>
  <c r="AG105" i="15"/>
  <c r="AH105" i="15"/>
  <c r="AI105" i="15"/>
  <c r="AG93" i="15"/>
  <c r="AH93" i="15"/>
  <c r="AI93" i="15"/>
  <c r="AG81" i="15"/>
  <c r="AH81" i="15"/>
  <c r="AI81" i="15"/>
  <c r="AG69" i="15"/>
  <c r="AH69" i="15"/>
  <c r="AI69" i="15"/>
  <c r="AG57" i="15"/>
  <c r="AG45" i="15"/>
  <c r="AG33" i="15"/>
  <c r="AG122" i="15"/>
  <c r="AH122" i="15"/>
  <c r="AI122" i="15"/>
  <c r="AG312" i="15"/>
  <c r="AG284" i="15"/>
  <c r="AG272" i="15"/>
  <c r="AG260" i="15"/>
  <c r="AG248" i="15"/>
  <c r="AG236" i="15"/>
  <c r="AG224" i="15"/>
  <c r="AG212" i="15"/>
  <c r="AG200" i="15"/>
  <c r="AG188" i="15"/>
  <c r="AG176" i="15"/>
  <c r="AG164" i="15"/>
  <c r="AH164" i="15"/>
  <c r="AI164" i="15"/>
  <c r="AG152" i="15"/>
  <c r="AH152" i="15"/>
  <c r="AI152" i="15"/>
  <c r="AG140" i="15"/>
  <c r="AH140" i="15"/>
  <c r="AI140" i="15"/>
  <c r="AG128" i="15"/>
  <c r="AH128" i="15"/>
  <c r="AI128" i="15"/>
  <c r="AG116" i="15"/>
  <c r="AH116" i="15"/>
  <c r="AI116" i="15"/>
  <c r="AG104" i="15"/>
  <c r="AH104" i="15"/>
  <c r="AI104" i="15"/>
  <c r="AG92" i="15"/>
  <c r="AH92" i="15"/>
  <c r="AI92" i="15"/>
  <c r="AG80" i="15"/>
  <c r="AH80" i="15"/>
  <c r="AI80" i="15"/>
  <c r="AG68" i="15"/>
  <c r="AH68" i="15"/>
  <c r="AI68" i="15"/>
  <c r="AG56" i="15"/>
  <c r="AH56" i="15"/>
  <c r="AI56" i="15"/>
  <c r="AG44" i="15"/>
  <c r="AH44" i="15"/>
  <c r="AI44" i="15"/>
  <c r="AG32" i="15"/>
  <c r="AG218" i="15"/>
  <c r="AG252" i="15"/>
  <c r="AG271" i="15"/>
  <c r="AH271" i="15"/>
  <c r="AI271" i="15"/>
  <c r="AG259" i="15"/>
  <c r="AH259" i="15"/>
  <c r="AI259" i="15"/>
  <c r="AG247" i="15"/>
  <c r="AH247" i="15"/>
  <c r="AI247" i="15"/>
  <c r="AG235" i="15"/>
  <c r="AH235" i="15"/>
  <c r="AI235" i="15"/>
  <c r="AG223" i="15"/>
  <c r="AH223" i="15"/>
  <c r="AI223" i="15"/>
  <c r="AG211" i="15"/>
  <c r="AH211" i="15"/>
  <c r="AI211" i="15"/>
  <c r="AG199" i="15"/>
  <c r="AH199" i="15"/>
  <c r="AI199" i="15"/>
  <c r="AG187" i="15"/>
  <c r="AH187" i="15"/>
  <c r="AI187" i="15"/>
  <c r="AG175" i="15"/>
  <c r="AH175" i="15"/>
  <c r="AI175" i="15"/>
  <c r="AG163" i="15"/>
  <c r="AH163" i="15"/>
  <c r="AI163" i="15"/>
  <c r="AG151" i="15"/>
  <c r="AH151" i="15"/>
  <c r="AI151" i="15"/>
  <c r="AG139" i="15"/>
  <c r="AH139" i="15"/>
  <c r="AI139" i="15"/>
  <c r="AG127" i="15"/>
  <c r="AH127" i="15"/>
  <c r="AI127" i="15"/>
  <c r="AG115" i="15"/>
  <c r="AH115" i="15"/>
  <c r="AI115" i="15"/>
  <c r="AG103" i="15"/>
  <c r="AH103" i="15"/>
  <c r="AI103" i="15"/>
  <c r="AG91" i="15"/>
  <c r="AH91" i="15"/>
  <c r="AI91" i="15"/>
  <c r="AG79" i="15"/>
  <c r="AH79" i="15"/>
  <c r="AI79" i="15"/>
  <c r="AG67" i="15"/>
  <c r="AG55" i="15"/>
  <c r="AG43" i="15"/>
  <c r="AG31" i="15"/>
  <c r="AG290" i="15"/>
  <c r="AG230" i="15"/>
  <c r="AG134" i="15"/>
  <c r="AH134" i="15"/>
  <c r="AI134" i="15"/>
  <c r="AG62" i="15"/>
  <c r="AH62" i="15"/>
  <c r="AI62" i="15"/>
  <c r="AG204" i="15"/>
  <c r="AG323" i="15"/>
  <c r="AG319" i="15"/>
  <c r="AH319" i="15"/>
  <c r="AI319" i="15"/>
  <c r="AG318" i="15"/>
  <c r="AG306" i="15"/>
  <c r="AH306" i="15"/>
  <c r="AI306" i="15"/>
  <c r="AG294" i="15"/>
  <c r="AG282" i="15"/>
  <c r="AG270" i="15"/>
  <c r="AG258" i="15"/>
  <c r="AG246" i="15"/>
  <c r="AG234" i="15"/>
  <c r="AG222" i="15"/>
  <c r="AG210" i="15"/>
  <c r="AG198" i="15"/>
  <c r="AG186" i="15"/>
  <c r="AG174" i="15"/>
  <c r="AG162" i="15"/>
  <c r="AH162" i="15"/>
  <c r="AI162" i="15"/>
  <c r="AG150" i="15"/>
  <c r="AH150" i="15"/>
  <c r="AI150" i="15"/>
  <c r="AG138" i="15"/>
  <c r="AH138" i="15"/>
  <c r="AI138" i="15"/>
  <c r="AG126" i="15"/>
  <c r="AH126" i="15"/>
  <c r="AI126" i="15"/>
  <c r="AG114" i="15"/>
  <c r="AH114" i="15"/>
  <c r="AI114" i="15"/>
  <c r="AG102" i="15"/>
  <c r="AH102" i="15"/>
  <c r="AI102" i="15"/>
  <c r="AG90" i="15"/>
  <c r="AH90" i="15"/>
  <c r="AI90" i="15"/>
  <c r="AG78" i="15"/>
  <c r="AH78" i="15"/>
  <c r="AI78" i="15"/>
  <c r="AG66" i="15"/>
  <c r="AH66" i="15"/>
  <c r="AI66" i="15"/>
  <c r="AG54" i="15"/>
  <c r="AH54" i="15"/>
  <c r="AI54" i="15"/>
  <c r="AG42" i="15"/>
  <c r="AH42" i="15"/>
  <c r="AI42" i="15"/>
  <c r="AG30" i="15"/>
  <c r="AG314" i="15"/>
  <c r="AG206" i="15"/>
  <c r="AG74" i="15"/>
  <c r="AH74" i="15"/>
  <c r="AI74" i="15"/>
  <c r="AG216" i="15"/>
  <c r="AG320" i="15"/>
  <c r="AG283" i="15"/>
  <c r="AH283" i="15"/>
  <c r="AI283" i="15"/>
  <c r="AG329" i="15"/>
  <c r="AH329" i="15"/>
  <c r="AI329" i="15"/>
  <c r="AG317" i="15"/>
  <c r="AH317" i="15"/>
  <c r="AI317" i="15"/>
  <c r="AG305" i="15"/>
  <c r="AH305" i="15"/>
  <c r="AI305" i="15"/>
  <c r="AG293" i="15"/>
  <c r="AH293" i="15"/>
  <c r="AI293" i="15"/>
  <c r="AG281" i="15"/>
  <c r="AH281" i="15"/>
  <c r="AI281" i="15"/>
  <c r="AG269" i="15"/>
  <c r="AH269" i="15"/>
  <c r="AI269" i="15"/>
  <c r="AG257" i="15"/>
  <c r="AH257" i="15"/>
  <c r="AI257" i="15"/>
  <c r="AG245" i="15"/>
  <c r="AH245" i="15"/>
  <c r="AI245" i="15"/>
  <c r="AG233" i="15"/>
  <c r="AH233" i="15"/>
  <c r="AI233" i="15"/>
  <c r="AG221" i="15"/>
  <c r="AH221" i="15"/>
  <c r="AI221" i="15"/>
  <c r="AG209" i="15"/>
  <c r="AH209" i="15"/>
  <c r="AI209" i="15"/>
  <c r="AG197" i="15"/>
  <c r="AH197" i="15"/>
  <c r="AI197" i="15"/>
  <c r="AG185" i="15"/>
  <c r="AH185" i="15"/>
  <c r="AI185" i="15"/>
  <c r="AG173" i="15"/>
  <c r="AH173" i="15"/>
  <c r="AI173" i="15"/>
  <c r="AG161" i="15"/>
  <c r="AH161" i="15"/>
  <c r="AI161" i="15"/>
  <c r="AG149" i="15"/>
  <c r="AH149" i="15"/>
  <c r="AI149" i="15"/>
  <c r="AG137" i="15"/>
  <c r="AH137" i="15"/>
  <c r="AI137" i="15"/>
  <c r="AG125" i="15"/>
  <c r="AH125" i="15"/>
  <c r="AI125" i="15"/>
  <c r="AG113" i="15"/>
  <c r="AH113" i="15"/>
  <c r="AI113" i="15"/>
  <c r="AG101" i="15"/>
  <c r="AH101" i="15"/>
  <c r="AI101" i="15"/>
  <c r="AG89" i="15"/>
  <c r="AH89" i="15"/>
  <c r="AI89" i="15"/>
  <c r="AG77" i="15"/>
  <c r="AH77" i="15"/>
  <c r="AI77" i="15"/>
  <c r="AG65" i="15"/>
  <c r="AG53" i="15"/>
  <c r="AG41" i="15"/>
  <c r="AG29" i="15"/>
  <c r="AG242" i="15"/>
  <c r="AG86" i="15"/>
  <c r="AH86" i="15"/>
  <c r="AI86" i="15"/>
  <c r="AG300" i="15"/>
  <c r="AG308" i="15"/>
  <c r="AG307" i="15"/>
  <c r="AH307" i="15"/>
  <c r="AI307" i="15"/>
  <c r="AG316" i="15"/>
  <c r="AH316" i="15"/>
  <c r="AI316" i="15"/>
  <c r="AG292" i="15"/>
  <c r="AG280" i="15"/>
  <c r="AG268" i="15"/>
  <c r="AG256" i="15"/>
  <c r="AG244" i="15"/>
  <c r="AG232" i="15"/>
  <c r="AG220" i="15"/>
  <c r="AG208" i="15"/>
  <c r="AG196" i="15"/>
  <c r="AG184" i="15"/>
  <c r="AG172" i="15"/>
  <c r="AH172" i="15"/>
  <c r="AI172" i="15"/>
  <c r="AG160" i="15"/>
  <c r="AH160" i="15"/>
  <c r="AI160" i="15"/>
  <c r="AG148" i="15"/>
  <c r="AH148" i="15"/>
  <c r="AI148" i="15"/>
  <c r="AG136" i="15"/>
  <c r="AH136" i="15"/>
  <c r="AI136" i="15"/>
  <c r="AG124" i="15"/>
  <c r="AH124" i="15"/>
  <c r="AI124" i="15"/>
  <c r="AG112" i="15"/>
  <c r="AH112" i="15"/>
  <c r="AI112" i="15"/>
  <c r="AG100" i="15"/>
  <c r="AH100" i="15"/>
  <c r="AI100" i="15"/>
  <c r="AG88" i="15"/>
  <c r="AH88" i="15"/>
  <c r="AI88" i="15"/>
  <c r="AG76" i="15"/>
  <c r="AH76" i="15"/>
  <c r="AI76" i="15"/>
  <c r="AG64" i="15"/>
  <c r="AH64" i="15"/>
  <c r="AI64" i="15"/>
  <c r="AG52" i="15"/>
  <c r="AH52" i="15"/>
  <c r="AI52" i="15"/>
  <c r="AG40" i="15"/>
  <c r="AH40" i="15"/>
  <c r="AI40" i="15"/>
  <c r="AG326" i="15"/>
  <c r="AH326" i="15"/>
  <c r="AI326" i="15"/>
  <c r="AG110" i="15"/>
  <c r="AH110" i="15"/>
  <c r="AI110" i="15"/>
  <c r="AG288" i="15"/>
  <c r="AG296" i="15"/>
  <c r="AG295" i="15"/>
  <c r="AH295" i="15"/>
  <c r="AI295" i="15"/>
  <c r="AG328" i="15"/>
  <c r="AG304" i="15"/>
  <c r="AH304" i="15"/>
  <c r="AI304" i="15"/>
  <c r="AG327" i="15"/>
  <c r="AH327" i="15"/>
  <c r="AI327" i="15"/>
  <c r="AG315" i="15"/>
  <c r="AH315" i="15"/>
  <c r="AI315" i="15"/>
  <c r="AG303" i="15"/>
  <c r="AH303" i="15"/>
  <c r="AI303" i="15"/>
  <c r="AG291" i="15"/>
  <c r="AH291" i="15"/>
  <c r="AI291" i="15"/>
  <c r="AG279" i="15"/>
  <c r="AH279" i="15"/>
  <c r="AI279" i="15"/>
  <c r="AG267" i="15"/>
  <c r="AH267" i="15"/>
  <c r="AI267" i="15"/>
  <c r="AG255" i="15"/>
  <c r="AH255" i="15"/>
  <c r="AI255" i="15"/>
  <c r="AG243" i="15"/>
  <c r="AH243" i="15"/>
  <c r="AI243" i="15"/>
  <c r="AG231" i="15"/>
  <c r="AH231" i="15"/>
  <c r="AI231" i="15"/>
  <c r="AG219" i="15"/>
  <c r="AH219" i="15"/>
  <c r="AI219" i="15"/>
  <c r="AG207" i="15"/>
  <c r="AH207" i="15"/>
  <c r="AI207" i="15"/>
  <c r="AG195" i="15"/>
  <c r="AH195" i="15"/>
  <c r="AI195" i="15"/>
  <c r="AG183" i="15"/>
  <c r="AH183" i="15"/>
  <c r="AI183" i="15"/>
  <c r="AG171" i="15"/>
  <c r="AH171" i="15"/>
  <c r="AI171" i="15"/>
  <c r="AG159" i="15"/>
  <c r="AH159" i="15"/>
  <c r="AI159" i="15"/>
  <c r="AG147" i="15"/>
  <c r="AH147" i="15"/>
  <c r="AI147" i="15"/>
  <c r="AG135" i="15"/>
  <c r="AH135" i="15"/>
  <c r="AI135" i="15"/>
  <c r="AG123" i="15"/>
  <c r="AH123" i="15"/>
  <c r="AI123" i="15"/>
  <c r="AG111" i="15"/>
  <c r="AH111" i="15"/>
  <c r="AI111" i="15"/>
  <c r="AG99" i="15"/>
  <c r="AH99" i="15"/>
  <c r="AI99" i="15"/>
  <c r="AG87" i="15"/>
  <c r="AH87" i="15"/>
  <c r="AI87" i="15"/>
  <c r="AG75" i="15"/>
  <c r="AH75" i="15"/>
  <c r="AI75" i="15"/>
  <c r="AG63" i="15"/>
  <c r="AG51" i="15"/>
  <c r="AG39" i="15"/>
  <c r="AH39" i="15"/>
  <c r="AI39" i="15"/>
  <c r="AG28" i="15"/>
  <c r="AE72" i="15"/>
  <c r="AC39" i="15"/>
  <c r="AE30" i="15"/>
  <c r="AH30" i="15" s="1"/>
  <c r="AE323" i="15"/>
  <c r="AI323" i="15" s="1"/>
  <c r="AE297" i="15"/>
  <c r="AC305" i="15"/>
  <c r="AC295" i="15"/>
  <c r="AC273" i="15"/>
  <c r="AC233" i="15"/>
  <c r="AE322" i="15"/>
  <c r="AH322" i="15" s="1"/>
  <c r="AE208" i="15"/>
  <c r="AI208" i="15" s="1"/>
  <c r="AE53" i="15"/>
  <c r="AI53" i="15" s="1"/>
  <c r="AC261" i="15"/>
  <c r="AC257" i="15"/>
  <c r="AC291" i="15"/>
  <c r="AC235" i="15"/>
  <c r="AC296" i="15"/>
  <c r="AC249" i="15"/>
  <c r="AC253" i="15"/>
  <c r="AC237" i="15"/>
  <c r="AE204" i="15"/>
  <c r="AI204" i="15" s="1"/>
  <c r="AC279" i="15"/>
  <c r="AE36" i="15"/>
  <c r="AC327" i="15"/>
  <c r="AC297" i="15"/>
  <c r="AE282" i="15"/>
  <c r="AH282" i="15" s="1"/>
  <c r="AC267" i="15"/>
  <c r="AE57" i="15"/>
  <c r="AE210" i="15"/>
  <c r="AI210" i="15" s="1"/>
  <c r="AE43" i="15"/>
  <c r="AH43" i="15" s="1"/>
  <c r="AC205" i="15"/>
  <c r="AC319" i="15"/>
  <c r="AC293" i="15"/>
  <c r="AC289" i="15"/>
  <c r="AC271" i="15"/>
  <c r="AC301" i="15"/>
  <c r="AE246" i="15"/>
  <c r="AI246" i="15" s="1"/>
  <c r="AE180" i="15"/>
  <c r="AC314" i="15"/>
  <c r="AC283" i="15"/>
  <c r="AC292" i="15"/>
  <c r="AC313" i="15"/>
  <c r="AE308" i="15"/>
  <c r="AH308" i="15" s="1"/>
  <c r="AC241" i="15"/>
  <c r="AC199" i="15"/>
  <c r="AC275" i="15"/>
  <c r="AC227" i="15"/>
  <c r="AE61" i="15"/>
  <c r="AC321" i="15"/>
  <c r="AE312" i="15"/>
  <c r="AC263" i="15"/>
  <c r="AC245" i="15"/>
  <c r="AE240" i="15"/>
  <c r="AE216" i="15"/>
  <c r="AI216" i="15" s="1"/>
  <c r="AE188" i="15"/>
  <c r="AC277" i="15"/>
  <c r="AC231" i="15"/>
  <c r="AC221" i="15"/>
  <c r="AC211" i="15"/>
  <c r="AE202" i="15"/>
  <c r="AC307" i="15"/>
  <c r="AE252" i="15"/>
  <c r="AH252" i="15" s="1"/>
  <c r="AC192" i="15"/>
  <c r="AE33" i="15"/>
  <c r="AC223" i="15"/>
  <c r="AC215" i="15"/>
  <c r="AC207" i="15"/>
  <c r="AE65" i="15"/>
  <c r="AI65" i="15" s="1"/>
  <c r="AE37" i="15"/>
  <c r="AE34" i="15"/>
  <c r="AE31" i="15"/>
  <c r="AI31" i="15" s="1"/>
  <c r="AC309" i="15"/>
  <c r="AC269" i="15"/>
  <c r="AC247" i="15"/>
  <c r="AE49" i="15"/>
  <c r="AC285" i="15"/>
  <c r="AC239" i="15"/>
  <c r="AE222" i="15"/>
  <c r="AC217" i="15"/>
  <c r="AC209" i="15"/>
  <c r="AE206" i="15"/>
  <c r="AE190" i="15"/>
  <c r="AE184" i="15"/>
  <c r="AH184" i="15" s="1"/>
  <c r="AE178" i="15"/>
  <c r="AC329" i="15"/>
  <c r="AC316" i="15"/>
  <c r="AC311" i="15"/>
  <c r="AC303" i="15"/>
  <c r="AC298" i="15"/>
  <c r="AE292" i="15"/>
  <c r="AI292" i="15" s="1"/>
  <c r="AE276" i="15"/>
  <c r="AH276" i="15" s="1"/>
  <c r="AC255" i="15"/>
  <c r="AC225" i="15"/>
  <c r="AE55" i="15"/>
  <c r="AE328" i="15"/>
  <c r="AH328" i="15" s="1"/>
  <c r="AC190" i="15"/>
  <c r="AE186" i="15"/>
  <c r="AE67" i="15"/>
  <c r="AI67" i="15" s="1"/>
  <c r="AE45" i="15"/>
  <c r="AE310" i="15"/>
  <c r="AC287" i="15"/>
  <c r="AE270" i="15"/>
  <c r="AH270" i="15" s="1"/>
  <c r="AC265" i="15"/>
  <c r="AC219" i="15"/>
  <c r="AC201" i="15"/>
  <c r="AE198" i="15"/>
  <c r="AI198" i="15" s="1"/>
  <c r="AE51" i="15"/>
  <c r="AH51" i="15" s="1"/>
  <c r="AC320" i="15"/>
  <c r="AC315" i="15"/>
  <c r="AC302" i="15"/>
  <c r="AE264" i="15"/>
  <c r="AC243" i="15"/>
  <c r="AC213" i="15"/>
  <c r="AC203" i="15"/>
  <c r="AE200" i="15"/>
  <c r="AE63" i="15"/>
  <c r="AI63" i="15" s="1"/>
  <c r="AE41" i="15"/>
  <c r="AH41" i="15" s="1"/>
  <c r="AE38" i="15"/>
  <c r="AE35" i="15"/>
  <c r="AE32" i="15"/>
  <c r="AE29" i="15"/>
  <c r="AI29" i="15" s="1"/>
  <c r="AC325" i="15"/>
  <c r="AC317" i="15"/>
  <c r="AC299" i="15"/>
  <c r="AC281" i="15"/>
  <c r="AC259" i="15"/>
  <c r="AC251" i="15"/>
  <c r="AE234" i="15"/>
  <c r="AH234" i="15" s="1"/>
  <c r="AC229" i="15"/>
  <c r="AE47" i="15"/>
  <c r="AE288" i="15"/>
  <c r="AH288" i="15" s="1"/>
  <c r="AE258" i="15"/>
  <c r="AE228" i="15"/>
  <c r="AI228" i="15" s="1"/>
  <c r="AC194" i="15"/>
  <c r="AE176" i="15"/>
  <c r="AE59" i="15"/>
  <c r="AC300" i="15"/>
  <c r="AC304" i="15"/>
  <c r="AE314" i="15"/>
  <c r="AI314" i="15" s="1"/>
  <c r="AC306" i="15"/>
  <c r="AE290" i="15"/>
  <c r="AE278" i="15"/>
  <c r="AE266" i="15"/>
  <c r="AE254" i="15"/>
  <c r="AE242" i="15"/>
  <c r="AI242" i="15" s="1"/>
  <c r="AE230" i="15"/>
  <c r="AI230" i="15" s="1"/>
  <c r="AE218" i="15"/>
  <c r="AI218" i="15" s="1"/>
  <c r="AC326" i="15"/>
  <c r="AE280" i="15"/>
  <c r="AH280" i="15" s="1"/>
  <c r="AE268" i="15"/>
  <c r="AI268" i="15" s="1"/>
  <c r="AE244" i="15"/>
  <c r="AI244" i="15" s="1"/>
  <c r="AE232" i="15"/>
  <c r="AE318" i="15"/>
  <c r="AH318" i="15" s="1"/>
  <c r="AE294" i="15"/>
  <c r="AE256" i="15"/>
  <c r="AI256" i="15" s="1"/>
  <c r="AE220" i="15"/>
  <c r="AH220" i="15" s="1"/>
  <c r="AE320" i="15"/>
  <c r="AE296" i="15"/>
  <c r="AH296" i="15" s="1"/>
  <c r="AC324" i="15"/>
  <c r="AE324" i="15"/>
  <c r="AE300" i="15"/>
  <c r="AI300" i="15" s="1"/>
  <c r="AE284" i="15"/>
  <c r="AE272" i="15"/>
  <c r="AE260" i="15"/>
  <c r="AE248" i="15"/>
  <c r="AE236" i="15"/>
  <c r="AE224" i="15"/>
  <c r="AI224" i="15" s="1"/>
  <c r="AE212" i="15"/>
  <c r="AE286" i="15"/>
  <c r="AE274" i="15"/>
  <c r="AE262" i="15"/>
  <c r="AE250" i="15"/>
  <c r="AH250" i="15" s="1"/>
  <c r="AE238" i="15"/>
  <c r="AE226" i="15"/>
  <c r="AE214" i="15"/>
  <c r="AH214" i="15" s="1"/>
  <c r="AC196" i="15"/>
  <c r="AC191" i="15"/>
  <c r="AC193" i="15"/>
  <c r="AC183" i="15"/>
  <c r="AC175" i="15"/>
  <c r="AC172" i="15"/>
  <c r="AC169" i="15"/>
  <c r="AC166" i="15"/>
  <c r="AC163" i="15"/>
  <c r="AC160" i="15"/>
  <c r="AC157" i="15"/>
  <c r="AC154" i="15"/>
  <c r="AC151" i="15"/>
  <c r="AC148" i="15"/>
  <c r="AC145" i="15"/>
  <c r="AC142" i="15"/>
  <c r="AC139" i="15"/>
  <c r="AC136" i="15"/>
  <c r="AC133" i="15"/>
  <c r="AC130" i="15"/>
  <c r="AC127" i="15"/>
  <c r="AC124" i="15"/>
  <c r="AC121" i="15"/>
  <c r="AC118" i="15"/>
  <c r="AC115" i="15"/>
  <c r="AC112" i="15"/>
  <c r="AC109" i="15"/>
  <c r="AC106" i="15"/>
  <c r="AC103" i="15"/>
  <c r="AC100" i="15"/>
  <c r="AC97" i="15"/>
  <c r="AC94" i="15"/>
  <c r="AC91" i="15"/>
  <c r="AC88" i="15"/>
  <c r="AC85" i="15"/>
  <c r="AC82" i="15"/>
  <c r="AC79" i="15"/>
  <c r="AC76" i="15"/>
  <c r="AC73" i="15"/>
  <c r="AC70" i="15"/>
  <c r="AC64" i="15"/>
  <c r="AC58" i="15"/>
  <c r="AC52" i="15"/>
  <c r="AC46" i="15"/>
  <c r="AC40" i="15"/>
  <c r="AC195" i="15"/>
  <c r="AE182" i="15"/>
  <c r="AE174" i="15"/>
  <c r="AH174" i="15" s="1"/>
  <c r="AC185" i="15"/>
  <c r="AC177" i="15"/>
  <c r="AC197" i="15"/>
  <c r="AE194" i="15"/>
  <c r="AC171" i="15"/>
  <c r="AC168" i="15"/>
  <c r="AC165" i="15"/>
  <c r="AC162" i="15"/>
  <c r="AC159" i="15"/>
  <c r="AC156" i="15"/>
  <c r="AC153" i="15"/>
  <c r="AC150" i="15"/>
  <c r="AC147" i="15"/>
  <c r="AC144" i="15"/>
  <c r="AC141" i="15"/>
  <c r="AC138" i="15"/>
  <c r="AC135" i="15"/>
  <c r="AC132" i="15"/>
  <c r="AC129" i="15"/>
  <c r="AC126" i="15"/>
  <c r="AC123" i="15"/>
  <c r="AC120" i="15"/>
  <c r="AC117" i="15"/>
  <c r="AC114" i="15"/>
  <c r="AC111" i="15"/>
  <c r="AC108" i="15"/>
  <c r="AC105" i="15"/>
  <c r="AC102" i="15"/>
  <c r="AC99" i="15"/>
  <c r="AC96" i="15"/>
  <c r="AC93" i="15"/>
  <c r="AC90" i="15"/>
  <c r="AC87" i="15"/>
  <c r="AC84" i="15"/>
  <c r="AC81" i="15"/>
  <c r="AC78" i="15"/>
  <c r="AC75" i="15"/>
  <c r="AC72" i="15"/>
  <c r="AC69" i="15"/>
  <c r="AC66" i="15"/>
  <c r="AC60" i="15"/>
  <c r="AC54" i="15"/>
  <c r="AC48" i="15"/>
  <c r="AC42" i="15"/>
  <c r="AE196" i="15"/>
  <c r="AI196" i="15" s="1"/>
  <c r="AC179" i="15"/>
  <c r="AC187" i="15"/>
  <c r="AC189" i="15"/>
  <c r="AC181" i="15"/>
  <c r="AC173" i="15"/>
  <c r="AC170" i="15"/>
  <c r="AC167" i="15"/>
  <c r="AC164" i="15"/>
  <c r="AC161" i="15"/>
  <c r="AC158" i="15"/>
  <c r="AC155" i="15"/>
  <c r="AC152" i="15"/>
  <c r="AC149" i="15"/>
  <c r="AC146" i="15"/>
  <c r="AC143" i="15"/>
  <c r="AC140" i="15"/>
  <c r="AC137" i="15"/>
  <c r="AC134" i="15"/>
  <c r="AC131" i="15"/>
  <c r="AC128" i="15"/>
  <c r="AC125" i="15"/>
  <c r="AC122" i="15"/>
  <c r="AC119" i="15"/>
  <c r="AC116" i="15"/>
  <c r="AC113" i="15"/>
  <c r="AC110" i="15"/>
  <c r="AC107" i="15"/>
  <c r="AC104" i="15"/>
  <c r="AC101" i="15"/>
  <c r="AC98" i="15"/>
  <c r="AC95" i="15"/>
  <c r="AC92" i="15"/>
  <c r="AC89" i="15"/>
  <c r="AC86" i="15"/>
  <c r="AC83" i="15"/>
  <c r="AC80" i="15"/>
  <c r="AC77" i="15"/>
  <c r="AC74" i="15"/>
  <c r="AC71" i="15"/>
  <c r="AC68" i="15"/>
  <c r="AC62" i="15"/>
  <c r="AC56" i="15"/>
  <c r="AC50" i="15"/>
  <c r="AC44" i="15"/>
  <c r="AH53" i="15" l="1"/>
  <c r="AH244" i="15"/>
  <c r="AH210" i="15"/>
  <c r="AH224" i="15"/>
  <c r="AH63" i="15"/>
  <c r="AH196" i="15"/>
  <c r="AH320" i="15"/>
  <c r="AI320" i="15"/>
  <c r="AH72" i="15"/>
  <c r="AI72" i="15"/>
  <c r="AI212" i="15"/>
  <c r="AH212" i="15"/>
  <c r="AH254" i="15"/>
  <c r="AI254" i="15"/>
  <c r="AH258" i="15"/>
  <c r="AI258" i="15"/>
  <c r="AH32" i="15"/>
  <c r="AI32" i="15"/>
  <c r="AH178" i="15"/>
  <c r="AI178" i="15"/>
  <c r="AI202" i="15"/>
  <c r="AH202" i="15"/>
  <c r="AH61" i="15"/>
  <c r="AI61" i="15"/>
  <c r="AH292" i="15"/>
  <c r="AH300" i="15"/>
  <c r="AI41" i="15"/>
  <c r="AI30" i="15"/>
  <c r="AI282" i="15"/>
  <c r="AI252" i="15"/>
  <c r="AH194" i="15"/>
  <c r="AI194" i="15"/>
  <c r="AH266" i="15"/>
  <c r="AI266" i="15"/>
  <c r="AH35" i="15"/>
  <c r="AI35" i="15"/>
  <c r="AH36" i="15"/>
  <c r="AI36" i="15"/>
  <c r="AI296" i="15"/>
  <c r="AH208" i="15"/>
  <c r="AH67" i="15"/>
  <c r="AI250" i="15"/>
  <c r="AI236" i="15"/>
  <c r="AH236" i="15"/>
  <c r="AH278" i="15"/>
  <c r="AI278" i="15"/>
  <c r="AH47" i="15"/>
  <c r="AI47" i="15"/>
  <c r="AH38" i="15"/>
  <c r="AI38" i="15"/>
  <c r="AH55" i="15"/>
  <c r="AI55" i="15"/>
  <c r="AH190" i="15"/>
  <c r="AI190" i="15"/>
  <c r="AH34" i="15"/>
  <c r="AI34" i="15"/>
  <c r="AH256" i="15"/>
  <c r="AH216" i="15"/>
  <c r="AH230" i="15"/>
  <c r="AH218" i="15"/>
  <c r="AH294" i="15"/>
  <c r="AI294" i="15"/>
  <c r="AH248" i="15"/>
  <c r="AI248" i="15"/>
  <c r="AH290" i="15"/>
  <c r="AI290" i="15"/>
  <c r="AH206" i="15"/>
  <c r="AI206" i="15"/>
  <c r="AH37" i="15"/>
  <c r="AI37" i="15"/>
  <c r="AI234" i="15"/>
  <c r="AH323" i="15"/>
  <c r="AI322" i="15"/>
  <c r="AI174" i="15"/>
  <c r="AH260" i="15"/>
  <c r="AI260" i="15"/>
  <c r="AI220" i="15"/>
  <c r="AH268" i="15"/>
  <c r="AH246" i="15"/>
  <c r="AH204" i="15"/>
  <c r="AH186" i="15"/>
  <c r="AI186" i="15"/>
  <c r="AH182" i="15"/>
  <c r="AI182" i="15"/>
  <c r="AH226" i="15"/>
  <c r="AI226" i="15"/>
  <c r="AH284" i="15"/>
  <c r="AI284" i="15"/>
  <c r="AH222" i="15"/>
  <c r="AI222" i="15"/>
  <c r="AI51" i="15"/>
  <c r="AI288" i="15"/>
  <c r="AH242" i="15"/>
  <c r="AH65" i="15"/>
  <c r="AH31" i="15"/>
  <c r="AH286" i="15"/>
  <c r="AI286" i="15"/>
  <c r="AH232" i="15"/>
  <c r="AI232" i="15"/>
  <c r="AH200" i="15"/>
  <c r="AI200" i="15"/>
  <c r="AH238" i="15"/>
  <c r="AI238" i="15"/>
  <c r="AH240" i="15"/>
  <c r="AI240" i="15"/>
  <c r="AH297" i="15"/>
  <c r="AI297" i="15"/>
  <c r="AI328" i="15"/>
  <c r="AH228" i="15"/>
  <c r="AH272" i="15"/>
  <c r="AI272" i="15"/>
  <c r="AH324" i="15"/>
  <c r="AI324" i="15"/>
  <c r="AH59" i="15"/>
  <c r="AI59" i="15"/>
  <c r="AH310" i="15"/>
  <c r="AI310" i="15"/>
  <c r="AH33" i="15"/>
  <c r="AI33" i="15"/>
  <c r="AH57" i="15"/>
  <c r="AI57" i="15"/>
  <c r="AI184" i="15"/>
  <c r="AI280" i="15"/>
  <c r="AI318" i="15"/>
  <c r="AI43" i="15"/>
  <c r="AH188" i="15"/>
  <c r="AI188" i="15"/>
  <c r="AH262" i="15"/>
  <c r="AI262" i="15"/>
  <c r="AH176" i="15"/>
  <c r="AI176" i="15"/>
  <c r="AH264" i="15"/>
  <c r="AI264" i="15"/>
  <c r="AH45" i="15"/>
  <c r="AI45" i="15"/>
  <c r="AH49" i="15"/>
  <c r="AI49" i="15"/>
  <c r="AI308" i="15"/>
  <c r="AH29" i="15"/>
  <c r="AH198" i="15"/>
  <c r="AI270" i="15"/>
  <c r="AI214" i="15"/>
  <c r="AI276" i="15"/>
  <c r="AH274" i="15"/>
  <c r="AI274" i="15"/>
  <c r="AH312" i="15"/>
  <c r="AI312" i="15"/>
  <c r="AH180" i="15"/>
  <c r="AI180" i="15"/>
  <c r="AH314" i="15"/>
  <c r="AE28" i="15"/>
  <c r="AH28" i="15" l="1"/>
  <c r="AI28" i="15"/>
  <c r="Y7" i="23"/>
  <c r="X7" i="23"/>
  <c r="P7" i="23"/>
  <c r="O7" i="23"/>
  <c r="Y6" i="23"/>
  <c r="P6" i="23"/>
  <c r="O6" i="23"/>
  <c r="AU145" i="8"/>
  <c r="AT145" i="8"/>
  <c r="AS145" i="8"/>
  <c r="AR145" i="8"/>
  <c r="AQ145" i="8"/>
  <c r="AP145" i="8"/>
  <c r="AO145" i="8"/>
  <c r="AN145" i="8"/>
  <c r="AM145" i="8"/>
  <c r="AL145" i="8"/>
  <c r="AA144" i="8"/>
  <c r="AT144" i="8" s="1"/>
  <c r="U144" i="8"/>
  <c r="V144" i="8" s="1"/>
  <c r="O144" i="8"/>
  <c r="AP144" i="8" s="1"/>
  <c r="I144" i="8"/>
  <c r="AO144" i="8" s="1"/>
  <c r="C144" i="8"/>
  <c r="AM144" i="8" s="1"/>
  <c r="AA143" i="8"/>
  <c r="U143" i="8"/>
  <c r="O143" i="8"/>
  <c r="P143" i="8" s="1"/>
  <c r="I143" i="8"/>
  <c r="AN143" i="8" s="1"/>
  <c r="C143" i="8"/>
  <c r="AL143" i="8" s="1"/>
  <c r="AA142" i="8"/>
  <c r="U142" i="8"/>
  <c r="O142" i="8"/>
  <c r="AQ142" i="8" s="1"/>
  <c r="I142" i="8"/>
  <c r="AN142" i="8" s="1"/>
  <c r="C142" i="8"/>
  <c r="D142" i="8" s="1"/>
  <c r="AA141" i="8"/>
  <c r="U141" i="8"/>
  <c r="AS141" i="8" s="1"/>
  <c r="O141" i="8"/>
  <c r="P141" i="8" s="1"/>
  <c r="I141" i="8"/>
  <c r="J141" i="8" s="1"/>
  <c r="C141" i="8"/>
  <c r="AA140" i="8"/>
  <c r="AU140" i="8" s="1"/>
  <c r="U140" i="8"/>
  <c r="AS140" i="8" s="1"/>
  <c r="O140" i="8"/>
  <c r="P140" i="8" s="1"/>
  <c r="I140" i="8"/>
  <c r="C140" i="8"/>
  <c r="AL140" i="8" s="1"/>
  <c r="AA139" i="8"/>
  <c r="AT139" i="8" s="1"/>
  <c r="U139" i="8"/>
  <c r="AS139" i="8" s="1"/>
  <c r="O139" i="8"/>
  <c r="P139" i="8" s="1"/>
  <c r="I139" i="8"/>
  <c r="AO139" i="8" s="1"/>
  <c r="C139" i="8"/>
  <c r="AA138" i="8"/>
  <c r="U138" i="8"/>
  <c r="AS138" i="8" s="1"/>
  <c r="O138" i="8"/>
  <c r="P138" i="8" s="1"/>
  <c r="I138" i="8"/>
  <c r="J138" i="8" s="1"/>
  <c r="C138" i="8"/>
  <c r="AM138" i="8" s="1"/>
  <c r="AA137" i="8"/>
  <c r="AU137" i="8" s="1"/>
  <c r="U137" i="8"/>
  <c r="O137" i="8"/>
  <c r="I137" i="8"/>
  <c r="C137" i="8"/>
  <c r="D137" i="8" s="1"/>
  <c r="AA136" i="8"/>
  <c r="AT136" i="8" s="1"/>
  <c r="U136" i="8"/>
  <c r="V136" i="8" s="1"/>
  <c r="O136" i="8"/>
  <c r="I136" i="8"/>
  <c r="J136" i="8" s="1"/>
  <c r="C136" i="8"/>
  <c r="AL136" i="8" s="1"/>
  <c r="AA135" i="8"/>
  <c r="U135" i="8"/>
  <c r="V135" i="8" s="1"/>
  <c r="O135" i="8"/>
  <c r="AP135" i="8" s="1"/>
  <c r="I135" i="8"/>
  <c r="AO135" i="8" s="1"/>
  <c r="C135" i="8"/>
  <c r="AA134" i="8"/>
  <c r="U134" i="8"/>
  <c r="V134" i="8" s="1"/>
  <c r="O134" i="8"/>
  <c r="AP134" i="8" s="1"/>
  <c r="I134" i="8"/>
  <c r="C134" i="8"/>
  <c r="AA133" i="8"/>
  <c r="AT133" i="8" s="1"/>
  <c r="U133" i="8"/>
  <c r="AS133" i="8" s="1"/>
  <c r="O133" i="8"/>
  <c r="I133" i="8"/>
  <c r="J133" i="8" s="1"/>
  <c r="C133" i="8"/>
  <c r="AM133" i="8" s="1"/>
  <c r="AA132" i="8"/>
  <c r="AT132" i="8" s="1"/>
  <c r="U132" i="8"/>
  <c r="O132" i="8"/>
  <c r="AP132" i="8" s="1"/>
  <c r="I132" i="8"/>
  <c r="J132" i="8" s="1"/>
  <c r="C132" i="8"/>
  <c r="AM132" i="8" s="1"/>
  <c r="AA131" i="8"/>
  <c r="U131" i="8"/>
  <c r="AS131" i="8" s="1"/>
  <c r="O131" i="8"/>
  <c r="AQ131" i="8" s="1"/>
  <c r="I131" i="8"/>
  <c r="AO131" i="8" s="1"/>
  <c r="C131" i="8"/>
  <c r="AA130" i="8"/>
  <c r="U130" i="8"/>
  <c r="AR130" i="8" s="1"/>
  <c r="O130" i="8"/>
  <c r="AP130" i="8" s="1"/>
  <c r="I130" i="8"/>
  <c r="AN130" i="8" s="1"/>
  <c r="C130" i="8"/>
  <c r="D130" i="8" s="1"/>
  <c r="AA129" i="8"/>
  <c r="U129" i="8"/>
  <c r="AS129" i="8" s="1"/>
  <c r="O129" i="8"/>
  <c r="P129" i="8" s="1"/>
  <c r="I129" i="8"/>
  <c r="J129" i="8" s="1"/>
  <c r="C129" i="8"/>
  <c r="AA128" i="8"/>
  <c r="AU128" i="8" s="1"/>
  <c r="U128" i="8"/>
  <c r="AS128" i="8" s="1"/>
  <c r="O128" i="8"/>
  <c r="I128" i="8"/>
  <c r="C128" i="8"/>
  <c r="D128" i="8" s="1"/>
  <c r="AA127" i="8"/>
  <c r="AT127" i="8" s="1"/>
  <c r="U127" i="8"/>
  <c r="V127" i="8" s="1"/>
  <c r="O127" i="8"/>
  <c r="P127" i="8" s="1"/>
  <c r="I127" i="8"/>
  <c r="AN127" i="8" s="1"/>
  <c r="C127" i="8"/>
  <c r="AA126" i="8"/>
  <c r="AU126" i="8" s="1"/>
  <c r="U126" i="8"/>
  <c r="O126" i="8"/>
  <c r="P126" i="8" s="1"/>
  <c r="I126" i="8"/>
  <c r="C126" i="8"/>
  <c r="AM126" i="8" s="1"/>
  <c r="AA125" i="8"/>
  <c r="U125" i="8"/>
  <c r="O125" i="8"/>
  <c r="I125" i="8"/>
  <c r="AO125" i="8" s="1"/>
  <c r="C125" i="8"/>
  <c r="D125" i="8" s="1"/>
  <c r="AA124" i="8"/>
  <c r="U124" i="8"/>
  <c r="AS124" i="8" s="1"/>
  <c r="O124" i="8"/>
  <c r="AQ124" i="8" s="1"/>
  <c r="I124" i="8"/>
  <c r="J124" i="8" s="1"/>
  <c r="C124" i="8"/>
  <c r="AL124" i="8" s="1"/>
  <c r="AA123" i="8"/>
  <c r="U123" i="8"/>
  <c r="AS123" i="8" s="1"/>
  <c r="O123" i="8"/>
  <c r="AP123" i="8" s="1"/>
  <c r="I123" i="8"/>
  <c r="AO123" i="8" s="1"/>
  <c r="C123" i="8"/>
  <c r="AA122" i="8"/>
  <c r="AU122" i="8" s="1"/>
  <c r="U122" i="8"/>
  <c r="O122" i="8"/>
  <c r="AQ122" i="8" s="1"/>
  <c r="I122" i="8"/>
  <c r="C122" i="8"/>
  <c r="AA121" i="8"/>
  <c r="AU121" i="8" s="1"/>
  <c r="U121" i="8"/>
  <c r="V121" i="8" s="1"/>
  <c r="O121" i="8"/>
  <c r="AP121" i="8" s="1"/>
  <c r="I121" i="8"/>
  <c r="AN121" i="8" s="1"/>
  <c r="C121" i="8"/>
  <c r="D121" i="8" s="1"/>
  <c r="AA120" i="8"/>
  <c r="U120" i="8"/>
  <c r="O120" i="8"/>
  <c r="I120" i="8"/>
  <c r="J120" i="8" s="1"/>
  <c r="C120" i="8"/>
  <c r="AM120" i="8" s="1"/>
  <c r="AA119" i="8"/>
  <c r="AU119" i="8" s="1"/>
  <c r="U119" i="8"/>
  <c r="AR119" i="8" s="1"/>
  <c r="O119" i="8"/>
  <c r="AQ119" i="8" s="1"/>
  <c r="I119" i="8"/>
  <c r="J119" i="8" s="1"/>
  <c r="C119" i="8"/>
  <c r="AA118" i="8"/>
  <c r="U118" i="8"/>
  <c r="V118" i="8" s="1"/>
  <c r="O118" i="8"/>
  <c r="AQ118" i="8" s="1"/>
  <c r="I118" i="8"/>
  <c r="J118" i="8" s="1"/>
  <c r="C118" i="8"/>
  <c r="D118" i="8" s="1"/>
  <c r="AA117" i="8"/>
  <c r="U117" i="8"/>
  <c r="O117" i="8"/>
  <c r="I117" i="8"/>
  <c r="C117" i="8"/>
  <c r="AA116" i="8"/>
  <c r="U116" i="8"/>
  <c r="O116" i="8"/>
  <c r="I116" i="8"/>
  <c r="C116" i="8"/>
  <c r="AB115" i="8"/>
  <c r="AA115" i="8"/>
  <c r="AD115" i="8" s="1"/>
  <c r="V115" i="8"/>
  <c r="U115" i="8"/>
  <c r="Y115" i="8" s="1"/>
  <c r="P115" i="8"/>
  <c r="O115" i="8"/>
  <c r="R115" i="8" s="1"/>
  <c r="J115" i="8"/>
  <c r="I115" i="8"/>
  <c r="L115" i="8" s="1"/>
  <c r="D115" i="8"/>
  <c r="C115" i="8"/>
  <c r="G115" i="8" s="1"/>
  <c r="AB114" i="8"/>
  <c r="AA114" i="8"/>
  <c r="AE114" i="8" s="1"/>
  <c r="V114" i="8"/>
  <c r="U114" i="8"/>
  <c r="X114" i="8" s="1"/>
  <c r="P114" i="8"/>
  <c r="O114" i="8"/>
  <c r="S114" i="8" s="1"/>
  <c r="J114" i="8"/>
  <c r="I114" i="8"/>
  <c r="M114" i="8" s="1"/>
  <c r="D114" i="8"/>
  <c r="C114" i="8"/>
  <c r="F114" i="8" s="1"/>
  <c r="AB113" i="8"/>
  <c r="AA113" i="8"/>
  <c r="AE113" i="8" s="1"/>
  <c r="V113" i="8"/>
  <c r="U113" i="8"/>
  <c r="Y113" i="8" s="1"/>
  <c r="P113" i="8"/>
  <c r="O113" i="8"/>
  <c r="R113" i="8" s="1"/>
  <c r="J113" i="8"/>
  <c r="I113" i="8"/>
  <c r="D113" i="8"/>
  <c r="C113" i="8"/>
  <c r="G113" i="8" s="1"/>
  <c r="AB112" i="8"/>
  <c r="AA112" i="8"/>
  <c r="AD112" i="8" s="1"/>
  <c r="V112" i="8"/>
  <c r="U112" i="8"/>
  <c r="Y112" i="8" s="1"/>
  <c r="P112" i="8"/>
  <c r="O112" i="8"/>
  <c r="S112" i="8" s="1"/>
  <c r="J112" i="8"/>
  <c r="I112" i="8"/>
  <c r="L112" i="8" s="1"/>
  <c r="D112" i="8"/>
  <c r="C112" i="8"/>
  <c r="G112" i="8" s="1"/>
  <c r="AM100" i="8"/>
  <c r="AL100" i="8"/>
  <c r="AA100" i="8"/>
  <c r="U100" i="8"/>
  <c r="V100" i="8" s="1"/>
  <c r="O100" i="8"/>
  <c r="P100" i="8" s="1"/>
  <c r="Q100" i="8" s="1"/>
  <c r="I100" i="8"/>
  <c r="I57" i="8" s="1"/>
  <c r="J57" i="8" s="1"/>
  <c r="D100" i="8"/>
  <c r="E100" i="8" s="1"/>
  <c r="E144" i="8" s="1"/>
  <c r="AA99" i="8"/>
  <c r="U99" i="8"/>
  <c r="AS99" i="8" s="1"/>
  <c r="O99" i="8"/>
  <c r="AP99" i="8" s="1"/>
  <c r="I99" i="8"/>
  <c r="AN99" i="8" s="1"/>
  <c r="C99" i="8"/>
  <c r="AM99" i="8" s="1"/>
  <c r="AA98" i="8"/>
  <c r="U98" i="8"/>
  <c r="O98" i="8"/>
  <c r="AQ98" i="8" s="1"/>
  <c r="I98" i="8"/>
  <c r="K98" i="8" s="1"/>
  <c r="C98" i="8"/>
  <c r="AA97" i="8"/>
  <c r="U97" i="8"/>
  <c r="U54" i="8" s="1"/>
  <c r="O97" i="8"/>
  <c r="AQ97" i="8" s="1"/>
  <c r="I97" i="8"/>
  <c r="I54" i="8" s="1"/>
  <c r="C97" i="8"/>
  <c r="D97" i="8" s="1"/>
  <c r="E97" i="8" s="1"/>
  <c r="E141" i="8" s="1"/>
  <c r="AA96" i="8"/>
  <c r="U96" i="8"/>
  <c r="AR96" i="8" s="1"/>
  <c r="O96" i="8"/>
  <c r="I96" i="8"/>
  <c r="J96" i="8" s="1"/>
  <c r="C96" i="8"/>
  <c r="AL96" i="8" s="1"/>
  <c r="AA95" i="8"/>
  <c r="U95" i="8"/>
  <c r="U52" i="8" s="1"/>
  <c r="O95" i="8"/>
  <c r="AP95" i="8" s="1"/>
  <c r="I95" i="8"/>
  <c r="AO95" i="8" s="1"/>
  <c r="C95" i="8"/>
  <c r="AL95" i="8" s="1"/>
  <c r="AA94" i="8"/>
  <c r="AC94" i="8" s="1"/>
  <c r="U94" i="8"/>
  <c r="AR94" i="8" s="1"/>
  <c r="O94" i="8"/>
  <c r="AQ94" i="8" s="1"/>
  <c r="I94" i="8"/>
  <c r="I51" i="8" s="1"/>
  <c r="J51" i="8" s="1"/>
  <c r="C94" i="8"/>
  <c r="AA93" i="8"/>
  <c r="U93" i="8"/>
  <c r="O93" i="8"/>
  <c r="O50" i="8" s="1"/>
  <c r="S50" i="8" s="1"/>
  <c r="I93" i="8"/>
  <c r="C93" i="8"/>
  <c r="AM93" i="8" s="1"/>
  <c r="AA92" i="8"/>
  <c r="U92" i="8"/>
  <c r="AS92" i="8" s="1"/>
  <c r="O92" i="8"/>
  <c r="O49" i="8" s="1"/>
  <c r="I92" i="8"/>
  <c r="K92" i="8" s="1"/>
  <c r="K136" i="8" s="1"/>
  <c r="C92" i="8"/>
  <c r="AA91" i="8"/>
  <c r="U91" i="8"/>
  <c r="V91" i="8" s="1"/>
  <c r="O91" i="8"/>
  <c r="P91" i="8" s="1"/>
  <c r="Q91" i="8" s="1"/>
  <c r="I91" i="8"/>
  <c r="AN91" i="8" s="1"/>
  <c r="C91" i="8"/>
  <c r="AM91" i="8" s="1"/>
  <c r="AA90" i="8"/>
  <c r="AC90" i="8" s="1"/>
  <c r="U90" i="8"/>
  <c r="U47" i="8" s="1"/>
  <c r="O90" i="8"/>
  <c r="AP90" i="8" s="1"/>
  <c r="I90" i="8"/>
  <c r="AO90" i="8" s="1"/>
  <c r="C90" i="8"/>
  <c r="AL90" i="8" s="1"/>
  <c r="AA89" i="8"/>
  <c r="U89" i="8"/>
  <c r="AS89" i="8" s="1"/>
  <c r="O89" i="8"/>
  <c r="P89" i="8" s="1"/>
  <c r="Q89" i="8" s="1"/>
  <c r="I89" i="8"/>
  <c r="I46" i="8" s="1"/>
  <c r="J46" i="8" s="1"/>
  <c r="C89" i="8"/>
  <c r="AA88" i="8"/>
  <c r="U88" i="8"/>
  <c r="U45" i="8" s="1"/>
  <c r="O88" i="8"/>
  <c r="AQ88" i="8" s="1"/>
  <c r="I88" i="8"/>
  <c r="J88" i="8" s="1"/>
  <c r="C88" i="8"/>
  <c r="C45" i="8" s="1"/>
  <c r="AA87" i="8"/>
  <c r="AC87" i="8" s="1"/>
  <c r="U87" i="8"/>
  <c r="U44" i="8" s="1"/>
  <c r="W44" i="8" s="1"/>
  <c r="X44" i="8" s="1"/>
  <c r="O87" i="8"/>
  <c r="I87" i="8"/>
  <c r="AO87" i="8" s="1"/>
  <c r="C87" i="8"/>
  <c r="D87" i="8" s="1"/>
  <c r="AL87" i="8" s="1"/>
  <c r="AA86" i="8"/>
  <c r="U86" i="8"/>
  <c r="U43" i="8" s="1"/>
  <c r="Y43" i="8" s="1"/>
  <c r="O86" i="8"/>
  <c r="O43" i="8" s="1"/>
  <c r="P43" i="8" s="1"/>
  <c r="I86" i="8"/>
  <c r="I43" i="8" s="1"/>
  <c r="C86" i="8"/>
  <c r="AM86" i="8" s="1"/>
  <c r="AA85" i="8"/>
  <c r="AC85" i="8" s="1"/>
  <c r="U85" i="8"/>
  <c r="U42" i="8" s="1"/>
  <c r="O85" i="8"/>
  <c r="AQ85" i="8" s="1"/>
  <c r="I85" i="8"/>
  <c r="C85" i="8"/>
  <c r="D85" i="8" s="1"/>
  <c r="E85" i="8" s="1"/>
  <c r="E129" i="8" s="1"/>
  <c r="AA84" i="8"/>
  <c r="U84" i="8"/>
  <c r="W84" i="8" s="1"/>
  <c r="O84" i="8"/>
  <c r="P84" i="8" s="1"/>
  <c r="Q84" i="8" s="1"/>
  <c r="Q128" i="8" s="1"/>
  <c r="I84" i="8"/>
  <c r="AO84" i="8" s="1"/>
  <c r="C84" i="8"/>
  <c r="AM84" i="8" s="1"/>
  <c r="AA83" i="8"/>
  <c r="U83" i="8"/>
  <c r="AR83" i="8" s="1"/>
  <c r="O83" i="8"/>
  <c r="AP83" i="8" s="1"/>
  <c r="I83" i="8"/>
  <c r="AO83" i="8" s="1"/>
  <c r="C83" i="8"/>
  <c r="C40" i="8" s="1"/>
  <c r="AA82" i="8"/>
  <c r="U82" i="8"/>
  <c r="W82" i="8" s="1"/>
  <c r="W126" i="8" s="1"/>
  <c r="O82" i="8"/>
  <c r="P82" i="8" s="1"/>
  <c r="Q82" i="8" s="1"/>
  <c r="I82" i="8"/>
  <c r="C82" i="8"/>
  <c r="AM82" i="8" s="1"/>
  <c r="AA81" i="8"/>
  <c r="U81" i="8"/>
  <c r="O81" i="8"/>
  <c r="P81" i="8" s="1"/>
  <c r="Q81" i="8" s="1"/>
  <c r="I81" i="8"/>
  <c r="I38" i="8" s="1"/>
  <c r="J38" i="8" s="1"/>
  <c r="C81" i="8"/>
  <c r="D81" i="8" s="1"/>
  <c r="E81" i="8" s="1"/>
  <c r="AA80" i="8"/>
  <c r="U80" i="8"/>
  <c r="U37" i="8" s="1"/>
  <c r="O80" i="8"/>
  <c r="AP80" i="8" s="1"/>
  <c r="I80" i="8"/>
  <c r="AO80" i="8" s="1"/>
  <c r="C80" i="8"/>
  <c r="E37" i="8" s="1"/>
  <c r="F37" i="8" s="1"/>
  <c r="AA79" i="8"/>
  <c r="U79" i="8"/>
  <c r="AS79" i="8" s="1"/>
  <c r="O79" i="8"/>
  <c r="I79" i="8"/>
  <c r="K79" i="8" s="1"/>
  <c r="C79" i="8"/>
  <c r="AL79" i="8" s="1"/>
  <c r="AA78" i="8"/>
  <c r="U78" i="8"/>
  <c r="U35" i="8" s="1"/>
  <c r="V35" i="8" s="1"/>
  <c r="O78" i="8"/>
  <c r="AQ78" i="8" s="1"/>
  <c r="I78" i="8"/>
  <c r="K78" i="8" s="1"/>
  <c r="C78" i="8"/>
  <c r="AM78" i="8" s="1"/>
  <c r="AA77" i="8"/>
  <c r="U77" i="8"/>
  <c r="AS77" i="8" s="1"/>
  <c r="O77" i="8"/>
  <c r="AP77" i="8" s="1"/>
  <c r="I77" i="8"/>
  <c r="AN77" i="8" s="1"/>
  <c r="C77" i="8"/>
  <c r="AA76" i="8"/>
  <c r="AC76" i="8" s="1"/>
  <c r="U76" i="8"/>
  <c r="AR76" i="8" s="1"/>
  <c r="O76" i="8"/>
  <c r="O33" i="8" s="1"/>
  <c r="I76" i="8"/>
  <c r="AO76" i="8" s="1"/>
  <c r="C76" i="8"/>
  <c r="D76" i="8" s="1"/>
  <c r="E76" i="8" s="1"/>
  <c r="AA75" i="8"/>
  <c r="U75" i="8"/>
  <c r="U32" i="8" s="1"/>
  <c r="W32" i="8" s="1"/>
  <c r="O75" i="8"/>
  <c r="AQ75" i="8" s="1"/>
  <c r="I75" i="8"/>
  <c r="J75" i="8" s="1"/>
  <c r="C75" i="8"/>
  <c r="D75" i="8" s="1"/>
  <c r="E75" i="8" s="1"/>
  <c r="E119" i="8" s="1"/>
  <c r="AA74" i="8"/>
  <c r="U74" i="8"/>
  <c r="AS74" i="8" s="1"/>
  <c r="O74" i="8"/>
  <c r="AQ74" i="8" s="1"/>
  <c r="I74" i="8"/>
  <c r="AN74" i="8" s="1"/>
  <c r="C74" i="8"/>
  <c r="G31" i="8" s="1"/>
  <c r="AA73" i="8"/>
  <c r="U73" i="8"/>
  <c r="O73" i="8"/>
  <c r="I73" i="8"/>
  <c r="C73" i="8"/>
  <c r="AA72" i="8"/>
  <c r="U72" i="8"/>
  <c r="O72" i="8"/>
  <c r="I72" i="8"/>
  <c r="C72" i="8"/>
  <c r="AB71" i="8"/>
  <c r="AA71" i="8"/>
  <c r="AE71" i="8" s="1"/>
  <c r="V71" i="8"/>
  <c r="U71" i="8"/>
  <c r="Y71" i="8" s="1"/>
  <c r="P71" i="8"/>
  <c r="O71" i="8"/>
  <c r="R71" i="8" s="1"/>
  <c r="J71" i="8"/>
  <c r="I71" i="8"/>
  <c r="M71" i="8" s="1"/>
  <c r="D71" i="8"/>
  <c r="C71" i="8"/>
  <c r="F71" i="8" s="1"/>
  <c r="AB70" i="8"/>
  <c r="AA70" i="8"/>
  <c r="AA27" i="8" s="1"/>
  <c r="AE27" i="8" s="1"/>
  <c r="V70" i="8"/>
  <c r="U70" i="8"/>
  <c r="Y70" i="8" s="1"/>
  <c r="P70" i="8"/>
  <c r="O70" i="8"/>
  <c r="R70" i="8" s="1"/>
  <c r="J70" i="8"/>
  <c r="I70" i="8"/>
  <c r="D70" i="8"/>
  <c r="C70" i="8"/>
  <c r="G70" i="8" s="1"/>
  <c r="AB69" i="8"/>
  <c r="AA69" i="8"/>
  <c r="AE69" i="8" s="1"/>
  <c r="V69" i="8"/>
  <c r="U69" i="8"/>
  <c r="X69" i="8" s="1"/>
  <c r="P69" i="8"/>
  <c r="O69" i="8"/>
  <c r="S69" i="8" s="1"/>
  <c r="J69" i="8"/>
  <c r="I69" i="8"/>
  <c r="L69" i="8" s="1"/>
  <c r="D69" i="8"/>
  <c r="C69" i="8"/>
  <c r="F69" i="8" s="1"/>
  <c r="AB68" i="8"/>
  <c r="AA68" i="8"/>
  <c r="AE68" i="8" s="1"/>
  <c r="V68" i="8"/>
  <c r="U68" i="8"/>
  <c r="Y68" i="8" s="1"/>
  <c r="P68" i="8"/>
  <c r="O68" i="8"/>
  <c r="O25" i="8" s="1"/>
  <c r="S25" i="8" s="1"/>
  <c r="J68" i="8"/>
  <c r="I68" i="8"/>
  <c r="M68" i="8" s="1"/>
  <c r="D68" i="8"/>
  <c r="C68" i="8"/>
  <c r="G68" i="8" s="1"/>
  <c r="C57" i="8"/>
  <c r="D57" i="8" s="1"/>
  <c r="AB28" i="8"/>
  <c r="V28" i="8"/>
  <c r="P28" i="8"/>
  <c r="J28" i="8"/>
  <c r="D28" i="8"/>
  <c r="AB27" i="8"/>
  <c r="V27" i="8"/>
  <c r="P27" i="8"/>
  <c r="J27" i="8"/>
  <c r="D27" i="8"/>
  <c r="AB26" i="8"/>
  <c r="V26" i="8"/>
  <c r="P26" i="8"/>
  <c r="J26" i="8"/>
  <c r="D26" i="8"/>
  <c r="AB25" i="8"/>
  <c r="V25" i="8"/>
  <c r="P25" i="8"/>
  <c r="J25" i="8"/>
  <c r="D25" i="8"/>
  <c r="J18" i="19"/>
  <c r="E18" i="19"/>
  <c r="J17" i="19"/>
  <c r="E17" i="19"/>
  <c r="J16" i="19"/>
  <c r="E16" i="19"/>
  <c r="E20" i="19" s="1"/>
  <c r="C6" i="19" s="1"/>
  <c r="J15" i="19"/>
  <c r="C5" i="19"/>
  <c r="C4" i="18"/>
  <c r="X214" i="17"/>
  <c r="Y214" i="17" s="1"/>
  <c r="AC214" i="17" s="1"/>
  <c r="X213" i="17"/>
  <c r="Y213" i="17" s="1"/>
  <c r="X212" i="17"/>
  <c r="Y212" i="17" s="1"/>
  <c r="X211" i="17"/>
  <c r="Y211" i="17" s="1"/>
  <c r="X210" i="17"/>
  <c r="Y210" i="17" s="1"/>
  <c r="X209" i="17"/>
  <c r="Y209" i="17" s="1"/>
  <c r="AA209" i="17" s="1"/>
  <c r="X208" i="17"/>
  <c r="Y208" i="17" s="1"/>
  <c r="X207" i="17"/>
  <c r="Y207" i="17" s="1"/>
  <c r="X206" i="17"/>
  <c r="Y206" i="17" s="1"/>
  <c r="X205" i="17"/>
  <c r="Y205" i="17" s="1"/>
  <c r="X204" i="17"/>
  <c r="Y204" i="17" s="1"/>
  <c r="X203" i="17"/>
  <c r="Y203" i="17" s="1"/>
  <c r="AA203" i="17" s="1"/>
  <c r="X202" i="17"/>
  <c r="Y202" i="17" s="1"/>
  <c r="X201" i="17"/>
  <c r="Y201" i="17" s="1"/>
  <c r="AB201" i="17" s="1"/>
  <c r="X200" i="17"/>
  <c r="Y200" i="17" s="1"/>
  <c r="AA200" i="17" s="1"/>
  <c r="X199" i="17"/>
  <c r="Y199" i="17" s="1"/>
  <c r="X198" i="17"/>
  <c r="Y198" i="17" s="1"/>
  <c r="Z198" i="17" s="1"/>
  <c r="X197" i="17"/>
  <c r="Y197" i="17" s="1"/>
  <c r="X196" i="17"/>
  <c r="Y196" i="17" s="1"/>
  <c r="AB196" i="17" s="1"/>
  <c r="X195" i="17"/>
  <c r="Y195" i="17" s="1"/>
  <c r="X194" i="17"/>
  <c r="Y194" i="17" s="1"/>
  <c r="AB194" i="17" s="1"/>
  <c r="X193" i="17"/>
  <c r="Y193" i="17" s="1"/>
  <c r="AB193" i="17" s="1"/>
  <c r="X192" i="17"/>
  <c r="Y192" i="17" s="1"/>
  <c r="X191" i="17"/>
  <c r="Y191" i="17" s="1"/>
  <c r="AA191" i="17" s="1"/>
  <c r="X190" i="17"/>
  <c r="Y190" i="17" s="1"/>
  <c r="X189" i="17"/>
  <c r="Y189" i="17" s="1"/>
  <c r="AC189" i="17" s="1"/>
  <c r="X188" i="17"/>
  <c r="Y188" i="17" s="1"/>
  <c r="Z188" i="17" s="1"/>
  <c r="X187" i="17"/>
  <c r="Y187" i="17" s="1"/>
  <c r="X186" i="17"/>
  <c r="Y186" i="17" s="1"/>
  <c r="Z186" i="17" s="1"/>
  <c r="X185" i="17"/>
  <c r="Y185" i="17" s="1"/>
  <c r="X184" i="17"/>
  <c r="Y184" i="17" s="1"/>
  <c r="Z184" i="17" s="1"/>
  <c r="X183" i="17"/>
  <c r="Y183" i="17" s="1"/>
  <c r="X182" i="17"/>
  <c r="Y182" i="17" s="1"/>
  <c r="X181" i="17"/>
  <c r="Y181" i="17" s="1"/>
  <c r="X180" i="17"/>
  <c r="Y180" i="17" s="1"/>
  <c r="X179" i="17"/>
  <c r="Y179" i="17" s="1"/>
  <c r="X178" i="17"/>
  <c r="Y178" i="17" s="1"/>
  <c r="X177" i="17"/>
  <c r="Y177" i="17" s="1"/>
  <c r="AB177" i="17" s="1"/>
  <c r="X176" i="17"/>
  <c r="Y176" i="17" s="1"/>
  <c r="X175" i="17"/>
  <c r="Y175" i="17" s="1"/>
  <c r="X174" i="17"/>
  <c r="Y174" i="17" s="1"/>
  <c r="AC174" i="17" s="1"/>
  <c r="X173" i="17"/>
  <c r="Y173" i="17" s="1"/>
  <c r="X172" i="17"/>
  <c r="Y172" i="17" s="1"/>
  <c r="X171" i="17"/>
  <c r="Y171" i="17" s="1"/>
  <c r="AC171" i="17" s="1"/>
  <c r="X170" i="17"/>
  <c r="Y170" i="17" s="1"/>
  <c r="AC170" i="17" s="1"/>
  <c r="X169" i="17"/>
  <c r="Y169" i="17" s="1"/>
  <c r="X168" i="17"/>
  <c r="Y168" i="17" s="1"/>
  <c r="X167" i="17"/>
  <c r="Y167" i="17" s="1"/>
  <c r="AA167" i="17" s="1"/>
  <c r="X166" i="17"/>
  <c r="Y166" i="17" s="1"/>
  <c r="AC166" i="17" s="1"/>
  <c r="X165" i="17"/>
  <c r="Y165" i="17" s="1"/>
  <c r="AA165" i="17" s="1"/>
  <c r="X164" i="17"/>
  <c r="Y164" i="17" s="1"/>
  <c r="Z164" i="17" s="1"/>
  <c r="X163" i="17"/>
  <c r="Y163" i="17" s="1"/>
  <c r="AB163" i="17" s="1"/>
  <c r="X162" i="17"/>
  <c r="Y162" i="17" s="1"/>
  <c r="AC162" i="17" s="1"/>
  <c r="X161" i="17"/>
  <c r="Y161" i="17" s="1"/>
  <c r="X160" i="17"/>
  <c r="Y160" i="17" s="1"/>
  <c r="X159" i="17"/>
  <c r="Y159" i="17" s="1"/>
  <c r="X158" i="17"/>
  <c r="Y158" i="17" s="1"/>
  <c r="X157" i="17"/>
  <c r="Y157" i="17" s="1"/>
  <c r="X156" i="17"/>
  <c r="Y156" i="17" s="1"/>
  <c r="AB156" i="17" s="1"/>
  <c r="X155" i="17"/>
  <c r="Y155" i="17" s="1"/>
  <c r="AC155" i="17" s="1"/>
  <c r="X154" i="17"/>
  <c r="Y154" i="17" s="1"/>
  <c r="X153" i="17"/>
  <c r="Y153" i="17" s="1"/>
  <c r="X152" i="17"/>
  <c r="Y152" i="17" s="1"/>
  <c r="AC152" i="17" s="1"/>
  <c r="X151" i="17"/>
  <c r="Y151" i="17" s="1"/>
  <c r="Z151" i="17" s="1"/>
  <c r="X150" i="17"/>
  <c r="Y150" i="17" s="1"/>
  <c r="X149" i="17"/>
  <c r="Y149" i="17" s="1"/>
  <c r="X148" i="17"/>
  <c r="Y148" i="17" s="1"/>
  <c r="X147" i="17"/>
  <c r="Y147" i="17" s="1"/>
  <c r="AC147" i="17" s="1"/>
  <c r="X146" i="17"/>
  <c r="Y146" i="17" s="1"/>
  <c r="X145" i="17"/>
  <c r="Y145" i="17" s="1"/>
  <c r="AB145" i="17" s="1"/>
  <c r="X144" i="17"/>
  <c r="Y144" i="17" s="1"/>
  <c r="X143" i="17"/>
  <c r="Y143" i="17" s="1"/>
  <c r="AB143" i="17" s="1"/>
  <c r="X142" i="17"/>
  <c r="Y142" i="17" s="1"/>
  <c r="X141" i="17"/>
  <c r="Y141" i="17" s="1"/>
  <c r="X140" i="17"/>
  <c r="Y140" i="17" s="1"/>
  <c r="X139" i="17"/>
  <c r="Y139" i="17" s="1"/>
  <c r="Z139" i="17" s="1"/>
  <c r="X138" i="17"/>
  <c r="Y138" i="17" s="1"/>
  <c r="X137" i="17"/>
  <c r="Y137" i="17" s="1"/>
  <c r="X136" i="17"/>
  <c r="Y136" i="17" s="1"/>
  <c r="X135" i="17"/>
  <c r="Y135" i="17" s="1"/>
  <c r="Z135" i="17" s="1"/>
  <c r="X134" i="17"/>
  <c r="Y134" i="17" s="1"/>
  <c r="X133" i="17"/>
  <c r="Y133" i="17" s="1"/>
  <c r="Z133" i="17" s="1"/>
  <c r="X132" i="17"/>
  <c r="Y132" i="17" s="1"/>
  <c r="X131" i="17"/>
  <c r="Y131" i="17" s="1"/>
  <c r="AC131" i="17" s="1"/>
  <c r="X130" i="17"/>
  <c r="Y130" i="17" s="1"/>
  <c r="X129" i="17"/>
  <c r="Y129" i="17" s="1"/>
  <c r="X128" i="17"/>
  <c r="Y128" i="17" s="1"/>
  <c r="X127" i="17"/>
  <c r="Y127" i="17" s="1"/>
  <c r="AC127" i="17" s="1"/>
  <c r="X126" i="17"/>
  <c r="Y126" i="17" s="1"/>
  <c r="X125" i="17"/>
  <c r="Y125" i="17" s="1"/>
  <c r="X124" i="17"/>
  <c r="Y124" i="17" s="1"/>
  <c r="X123" i="17"/>
  <c r="Y123" i="17" s="1"/>
  <c r="X122" i="17"/>
  <c r="Y122" i="17" s="1"/>
  <c r="X121" i="17"/>
  <c r="Y121" i="17" s="1"/>
  <c r="X120" i="17"/>
  <c r="Y120" i="17" s="1"/>
  <c r="X119" i="17"/>
  <c r="Y119" i="17" s="1"/>
  <c r="X118" i="17"/>
  <c r="Y118" i="17" s="1"/>
  <c r="X117" i="17"/>
  <c r="Y117" i="17" s="1"/>
  <c r="Z117" i="17" s="1"/>
  <c r="X116" i="17"/>
  <c r="Y116" i="17" s="1"/>
  <c r="X115" i="17"/>
  <c r="Y115" i="17" s="1"/>
  <c r="X114" i="17"/>
  <c r="Y114" i="17" s="1"/>
  <c r="X113" i="17"/>
  <c r="Y113" i="17" s="1"/>
  <c r="AB113" i="17" s="1"/>
  <c r="X112" i="17"/>
  <c r="Y112" i="17" s="1"/>
  <c r="X111" i="17"/>
  <c r="Y111" i="17" s="1"/>
  <c r="X110" i="17"/>
  <c r="Y110" i="17" s="1"/>
  <c r="X109" i="17"/>
  <c r="Y109" i="17" s="1"/>
  <c r="Z109" i="17" s="1"/>
  <c r="X108" i="17"/>
  <c r="Y108" i="17" s="1"/>
  <c r="X107" i="17"/>
  <c r="Y107" i="17" s="1"/>
  <c r="X106" i="17"/>
  <c r="Y106" i="17" s="1"/>
  <c r="X105" i="17"/>
  <c r="Y105" i="17" s="1"/>
  <c r="AC105" i="17" s="1"/>
  <c r="X104" i="17"/>
  <c r="Y104" i="17" s="1"/>
  <c r="X103" i="17"/>
  <c r="Y103" i="17" s="1"/>
  <c r="X102" i="17"/>
  <c r="Y102" i="17" s="1"/>
  <c r="X101" i="17"/>
  <c r="Y101" i="17" s="1"/>
  <c r="AB101" i="17" s="1"/>
  <c r="X100" i="17"/>
  <c r="Y100" i="17" s="1"/>
  <c r="X99" i="17"/>
  <c r="Y99" i="17" s="1"/>
  <c r="X98" i="17"/>
  <c r="Y98" i="17" s="1"/>
  <c r="X97" i="17"/>
  <c r="Y97" i="17" s="1"/>
  <c r="Z97" i="17" s="1"/>
  <c r="X96" i="17"/>
  <c r="Y96" i="17" s="1"/>
  <c r="X95" i="17"/>
  <c r="Y95" i="17" s="1"/>
  <c r="X94" i="17"/>
  <c r="Y94" i="17" s="1"/>
  <c r="X93" i="17"/>
  <c r="Y93" i="17" s="1"/>
  <c r="AC93" i="17" s="1"/>
  <c r="X92" i="17"/>
  <c r="Y92" i="17" s="1"/>
  <c r="X91" i="17"/>
  <c r="Y91" i="17" s="1"/>
  <c r="Z91" i="17" s="1"/>
  <c r="X90" i="17"/>
  <c r="Y90" i="17" s="1"/>
  <c r="X89" i="17"/>
  <c r="Y89" i="17" s="1"/>
  <c r="AB89" i="17" s="1"/>
  <c r="X88" i="17"/>
  <c r="Y88" i="17" s="1"/>
  <c r="X87" i="17"/>
  <c r="Y87" i="17" s="1"/>
  <c r="X86" i="17"/>
  <c r="Y86" i="17" s="1"/>
  <c r="X85" i="17"/>
  <c r="Y85" i="17" s="1"/>
  <c r="X84" i="17"/>
  <c r="Y84" i="17" s="1"/>
  <c r="X83" i="17"/>
  <c r="Y83" i="17" s="1"/>
  <c r="AB83" i="17" s="1"/>
  <c r="X82" i="17"/>
  <c r="Y82" i="17" s="1"/>
  <c r="X81" i="17"/>
  <c r="Y81" i="17" s="1"/>
  <c r="AC81" i="17" s="1"/>
  <c r="X80" i="17"/>
  <c r="Y80" i="17" s="1"/>
  <c r="X79" i="17"/>
  <c r="Y79" i="17" s="1"/>
  <c r="Z79" i="17" s="1"/>
  <c r="X78" i="17"/>
  <c r="Y78" i="17" s="1"/>
  <c r="X77" i="17"/>
  <c r="Y77" i="17" s="1"/>
  <c r="X76" i="17"/>
  <c r="Y76" i="17" s="1"/>
  <c r="X75" i="17"/>
  <c r="Y75" i="17" s="1"/>
  <c r="X74" i="17"/>
  <c r="Y74" i="17" s="1"/>
  <c r="X73" i="17"/>
  <c r="Y73" i="17" s="1"/>
  <c r="Z73" i="17" s="1"/>
  <c r="X72" i="17"/>
  <c r="Y72" i="17" s="1"/>
  <c r="X71" i="17"/>
  <c r="Y71" i="17" s="1"/>
  <c r="AA71" i="17" s="1"/>
  <c r="X70" i="17"/>
  <c r="Y70" i="17" s="1"/>
  <c r="X69" i="17"/>
  <c r="Y69" i="17" s="1"/>
  <c r="X68" i="17"/>
  <c r="Y68" i="17" s="1"/>
  <c r="X67" i="17"/>
  <c r="Y67" i="17" s="1"/>
  <c r="X66" i="17"/>
  <c r="Y66" i="17" s="1"/>
  <c r="X65" i="17"/>
  <c r="Y65" i="17" s="1"/>
  <c r="X64" i="17"/>
  <c r="Y64" i="17" s="1"/>
  <c r="X63" i="17"/>
  <c r="Y63" i="17" s="1"/>
  <c r="X62" i="17"/>
  <c r="Y62" i="17" s="1"/>
  <c r="X61" i="17"/>
  <c r="Y61" i="17" s="1"/>
  <c r="X60" i="17"/>
  <c r="Y60" i="17" s="1"/>
  <c r="X59" i="17"/>
  <c r="Y59" i="17" s="1"/>
  <c r="X58" i="17"/>
  <c r="Y58" i="17" s="1"/>
  <c r="X57" i="17"/>
  <c r="Y57" i="17" s="1"/>
  <c r="X56" i="17"/>
  <c r="Y56" i="17" s="1"/>
  <c r="X55" i="17"/>
  <c r="Y55" i="17" s="1"/>
  <c r="X54" i="17"/>
  <c r="Y54" i="17" s="1"/>
  <c r="X53" i="17"/>
  <c r="Y53" i="17" s="1"/>
  <c r="AA53" i="17" s="1"/>
  <c r="X52" i="17"/>
  <c r="Y52" i="17" s="1"/>
  <c r="X51" i="17"/>
  <c r="Y51" i="17" s="1"/>
  <c r="X50" i="17"/>
  <c r="Y50" i="17" s="1"/>
  <c r="X49" i="17"/>
  <c r="Y49" i="17" s="1"/>
  <c r="Z49" i="17" s="1"/>
  <c r="X48" i="17"/>
  <c r="Y48" i="17" s="1"/>
  <c r="X47" i="17"/>
  <c r="Y47" i="17" s="1"/>
  <c r="X46" i="17"/>
  <c r="Y46" i="17" s="1"/>
  <c r="X45" i="17"/>
  <c r="Y45" i="17" s="1"/>
  <c r="X44" i="17"/>
  <c r="Y44" i="17" s="1"/>
  <c r="X43" i="17"/>
  <c r="Y43" i="17" s="1"/>
  <c r="X42" i="17"/>
  <c r="Y42" i="17" s="1"/>
  <c r="X41" i="17"/>
  <c r="Y41" i="17" s="1"/>
  <c r="Z41" i="17" s="1"/>
  <c r="X40" i="17"/>
  <c r="Y40" i="17" s="1"/>
  <c r="X39" i="17"/>
  <c r="Y39" i="17" s="1"/>
  <c r="AC39" i="17" s="1"/>
  <c r="X38" i="17"/>
  <c r="Y38" i="17" s="1"/>
  <c r="X37" i="17"/>
  <c r="Y37" i="17" s="1"/>
  <c r="X36" i="17"/>
  <c r="Y36" i="17" s="1"/>
  <c r="AC36" i="17" s="1"/>
  <c r="X35" i="17"/>
  <c r="Y35" i="17" s="1"/>
  <c r="X34" i="17"/>
  <c r="Y34" i="17" s="1"/>
  <c r="AA34" i="17" s="1"/>
  <c r="X33" i="17"/>
  <c r="Y33" i="17" s="1"/>
  <c r="X32" i="17"/>
  <c r="Y32" i="17" s="1"/>
  <c r="X31" i="17"/>
  <c r="Y31" i="17" s="1"/>
  <c r="AC31" i="17" s="1"/>
  <c r="X30" i="17"/>
  <c r="Y30" i="17" s="1"/>
  <c r="X29" i="17"/>
  <c r="Y29" i="17" s="1"/>
  <c r="Z29" i="17" s="1"/>
  <c r="X28" i="17"/>
  <c r="Y28" i="17" s="1"/>
  <c r="Z28" i="17" s="1"/>
  <c r="X27" i="17"/>
  <c r="Y27" i="17" s="1"/>
  <c r="X26" i="17"/>
  <c r="Y26" i="17" s="1"/>
  <c r="X25" i="17"/>
  <c r="Y25" i="17" s="1"/>
  <c r="Z25" i="17" s="1"/>
  <c r="X24" i="17"/>
  <c r="Y24" i="17" s="1"/>
  <c r="AC24" i="17" s="1"/>
  <c r="X23" i="17"/>
  <c r="Y23" i="17" s="1"/>
  <c r="AA23" i="17" s="1"/>
  <c r="X22" i="17"/>
  <c r="Y22" i="17" s="1"/>
  <c r="X21" i="17"/>
  <c r="Y21" i="17" s="1"/>
  <c r="AB21" i="17" s="1"/>
  <c r="X20" i="17"/>
  <c r="Y20" i="17" s="1"/>
  <c r="X19" i="17"/>
  <c r="Y19" i="17" s="1"/>
  <c r="AC19" i="17" s="1"/>
  <c r="X18" i="17"/>
  <c r="Y18" i="17" s="1"/>
  <c r="X17" i="17"/>
  <c r="Y17" i="17" s="1"/>
  <c r="AA17" i="17" s="1"/>
  <c r="X16" i="17"/>
  <c r="Y16" i="17" s="1"/>
  <c r="Z16" i="17" s="1"/>
  <c r="G25" i="17"/>
  <c r="X15" i="17"/>
  <c r="Y15" i="17" s="1"/>
  <c r="AC15" i="17" s="1"/>
  <c r="X14" i="17"/>
  <c r="Y14" i="17" s="1"/>
  <c r="Z14" i="17" s="1"/>
  <c r="C4" i="17"/>
  <c r="AI5" i="17"/>
  <c r="H14" i="16"/>
  <c r="AB4" i="16"/>
  <c r="D3" i="16"/>
  <c r="G58" i="15"/>
  <c r="G57" i="15"/>
  <c r="G56" i="15"/>
  <c r="G55" i="15"/>
  <c r="D51" i="15"/>
  <c r="G51" i="15" s="1"/>
  <c r="G50" i="15"/>
  <c r="G49" i="15"/>
  <c r="D48" i="15"/>
  <c r="G48" i="15" s="1"/>
  <c r="G44" i="15"/>
  <c r="G43" i="15"/>
  <c r="G42" i="15"/>
  <c r="G41" i="15"/>
  <c r="G40" i="15"/>
  <c r="G38" i="15"/>
  <c r="G37" i="15"/>
  <c r="G36" i="15"/>
  <c r="G35" i="15"/>
  <c r="D32" i="15"/>
  <c r="G32" i="15" s="1"/>
  <c r="G29" i="15"/>
  <c r="G23" i="15"/>
  <c r="G22" i="15"/>
  <c r="G21" i="15"/>
  <c r="D18" i="15"/>
  <c r="G18" i="15" s="1"/>
  <c r="D15" i="15"/>
  <c r="G15" i="15" s="1"/>
  <c r="C3" i="15"/>
  <c r="D51" i="14"/>
  <c r="G51" i="14" s="1"/>
  <c r="G50" i="14"/>
  <c r="G49" i="14"/>
  <c r="G48" i="14"/>
  <c r="G47" i="14"/>
  <c r="D44" i="14"/>
  <c r="G44" i="14" s="1"/>
  <c r="G36" i="14"/>
  <c r="G35" i="14"/>
  <c r="G30" i="14"/>
  <c r="G28" i="14"/>
  <c r="G23" i="14"/>
  <c r="G22" i="14"/>
  <c r="G21" i="14"/>
  <c r="G20" i="14"/>
  <c r="G18" i="14"/>
  <c r="G17" i="14"/>
  <c r="D13" i="14"/>
  <c r="G13" i="14" s="1"/>
  <c r="C3" i="14"/>
  <c r="AM37" i="4"/>
  <c r="AK37" i="4"/>
  <c r="AI37" i="4"/>
  <c r="AI55" i="4" s="1"/>
  <c r="AJ55" i="4" s="1"/>
  <c r="AG37" i="4"/>
  <c r="AG55" i="4" s="1"/>
  <c r="AH55" i="4" s="1"/>
  <c r="AE37" i="4"/>
  <c r="AE55" i="4" s="1"/>
  <c r="AF55" i="4" s="1"/>
  <c r="AC37" i="4"/>
  <c r="AC55" i="4" s="1"/>
  <c r="AD55" i="4" s="1"/>
  <c r="AA37" i="4"/>
  <c r="Y37" i="4"/>
  <c r="W37" i="4"/>
  <c r="U37" i="4"/>
  <c r="S37" i="4"/>
  <c r="Q37" i="4"/>
  <c r="O37" i="4"/>
  <c r="O55" i="4" s="1"/>
  <c r="P55" i="4" s="1"/>
  <c r="AM36" i="4"/>
  <c r="AK36" i="4"/>
  <c r="AA36" i="4"/>
  <c r="Y36" i="4"/>
  <c r="W36" i="4"/>
  <c r="U36" i="4"/>
  <c r="S36" i="4"/>
  <c r="Q36" i="4"/>
  <c r="AM34" i="4"/>
  <c r="AN49" i="4" s="1"/>
  <c r="AK34" i="4"/>
  <c r="AL49" i="4" s="1"/>
  <c r="AI34" i="4"/>
  <c r="AJ49" i="4" s="1"/>
  <c r="AG34" i="4"/>
  <c r="AH49" i="4" s="1"/>
  <c r="AE34" i="4"/>
  <c r="AF49" i="4" s="1"/>
  <c r="AC34" i="4"/>
  <c r="AD49" i="4" s="1"/>
  <c r="AA34" i="4"/>
  <c r="AB49" i="4" s="1"/>
  <c r="Y34" i="4"/>
  <c r="Z49" i="4" s="1"/>
  <c r="W34" i="4"/>
  <c r="X49" i="4" s="1"/>
  <c r="U34" i="4"/>
  <c r="V49" i="4" s="1"/>
  <c r="S34" i="4"/>
  <c r="T49" i="4" s="1"/>
  <c r="Q34" i="4"/>
  <c r="R49" i="4" s="1"/>
  <c r="O34" i="4"/>
  <c r="P49" i="4" s="1"/>
  <c r="AM31" i="4"/>
  <c r="AK31" i="4"/>
  <c r="AI31" i="4"/>
  <c r="AG31" i="4"/>
  <c r="AE31" i="4"/>
  <c r="AC31" i="4"/>
  <c r="AA31" i="4"/>
  <c r="Y31" i="4"/>
  <c r="W31" i="4"/>
  <c r="U31" i="4"/>
  <c r="S31" i="4"/>
  <c r="Q31" i="4"/>
  <c r="O31" i="4"/>
  <c r="AM30" i="4"/>
  <c r="AK30" i="4"/>
  <c r="AI30" i="4"/>
  <c r="AG30" i="4"/>
  <c r="AE30" i="4"/>
  <c r="AC30" i="4"/>
  <c r="AA30" i="4"/>
  <c r="Y30" i="4"/>
  <c r="W30" i="4"/>
  <c r="U30" i="4"/>
  <c r="S30" i="4"/>
  <c r="Q30" i="4"/>
  <c r="O30" i="4"/>
  <c r="AM29" i="4"/>
  <c r="AK29" i="4"/>
  <c r="AI29" i="4"/>
  <c r="AG29" i="4"/>
  <c r="AE29" i="4"/>
  <c r="AC29" i="4"/>
  <c r="AA29" i="4"/>
  <c r="Y29" i="4"/>
  <c r="W29" i="4"/>
  <c r="U29" i="4"/>
  <c r="S29" i="4"/>
  <c r="Q29" i="4"/>
  <c r="O29" i="4"/>
  <c r="AM25" i="4"/>
  <c r="AK25" i="4"/>
  <c r="AI25" i="4"/>
  <c r="AG25" i="4"/>
  <c r="AE25" i="4"/>
  <c r="AC25" i="4"/>
  <c r="AA25" i="4"/>
  <c r="Y25" i="4"/>
  <c r="W25" i="4"/>
  <c r="U25" i="4"/>
  <c r="S25" i="4"/>
  <c r="Q25" i="4"/>
  <c r="O25" i="4"/>
  <c r="E14" i="6"/>
  <c r="E9" i="6"/>
  <c r="E8" i="6"/>
  <c r="K7" i="6"/>
  <c r="E7" i="6"/>
  <c r="E6" i="6"/>
  <c r="D14" i="14"/>
  <c r="G14" i="14" s="1"/>
  <c r="G41" i="2"/>
  <c r="K9" i="6"/>
  <c r="K6" i="6"/>
  <c r="J21" i="15" l="1"/>
  <c r="J52" i="15"/>
  <c r="C5" i="18"/>
  <c r="C13" i="17" s="1"/>
  <c r="AA55" i="4"/>
  <c r="AB55" i="4" s="1"/>
  <c r="AK55" i="4"/>
  <c r="AL55" i="4" s="1"/>
  <c r="AM55" i="4"/>
  <c r="AN55" i="4" s="1"/>
  <c r="C48" i="8"/>
  <c r="I48" i="8"/>
  <c r="J48" i="8" s="1"/>
  <c r="I55" i="8"/>
  <c r="J55" i="8" s="1"/>
  <c r="S55" i="4"/>
  <c r="T55" i="4" s="1"/>
  <c r="Q55" i="4"/>
  <c r="R55" i="4" s="1"/>
  <c r="U55" i="4"/>
  <c r="V55" i="4" s="1"/>
  <c r="W55" i="4"/>
  <c r="X55" i="4" s="1"/>
  <c r="J20" i="19"/>
  <c r="H6" i="19" s="1"/>
  <c r="Y55" i="4"/>
  <c r="Z55" i="4" s="1"/>
  <c r="O42" i="4"/>
  <c r="O40" i="4"/>
  <c r="Q42" i="4"/>
  <c r="Q40" i="4"/>
  <c r="S42" i="4"/>
  <c r="S43" i="4" s="1"/>
  <c r="T43" i="4" s="1"/>
  <c r="S40" i="4"/>
  <c r="U42" i="4"/>
  <c r="U43" i="4" s="1"/>
  <c r="V43" i="4" s="1"/>
  <c r="U40" i="4"/>
  <c r="W42" i="4"/>
  <c r="W43" i="4" s="1"/>
  <c r="X43" i="4" s="1"/>
  <c r="W40" i="4"/>
  <c r="Y42" i="4"/>
  <c r="Y43" i="4" s="1"/>
  <c r="Z43" i="4" s="1"/>
  <c r="Y40" i="4"/>
  <c r="AA42" i="4"/>
  <c r="AA43" i="4" s="1"/>
  <c r="AB43" i="4" s="1"/>
  <c r="AA40" i="4"/>
  <c r="AC42" i="4"/>
  <c r="AC43" i="4" s="1"/>
  <c r="AD43" i="4" s="1"/>
  <c r="AC40" i="4"/>
  <c r="AE42" i="4"/>
  <c r="AE43" i="4" s="1"/>
  <c r="AF43" i="4" s="1"/>
  <c r="AE40" i="4"/>
  <c r="AG42" i="4"/>
  <c r="AG43" i="4" s="1"/>
  <c r="AH43" i="4" s="1"/>
  <c r="AG40" i="4"/>
  <c r="AI42" i="4"/>
  <c r="AI43" i="4" s="1"/>
  <c r="AJ43" i="4" s="1"/>
  <c r="AI40" i="4"/>
  <c r="AK42" i="4"/>
  <c r="AK43" i="4" s="1"/>
  <c r="AL43" i="4" s="1"/>
  <c r="AK40" i="4"/>
  <c r="AM42" i="4"/>
  <c r="AM43" i="4" s="1"/>
  <c r="AN43" i="4" s="1"/>
  <c r="AM40" i="4"/>
  <c r="O43" i="4"/>
  <c r="P43" i="4" s="1"/>
  <c r="Q43" i="4"/>
  <c r="R43" i="4" s="1"/>
  <c r="P47" i="4"/>
  <c r="R47" i="4"/>
  <c r="T47" i="4"/>
  <c r="V47" i="4"/>
  <c r="X47" i="4"/>
  <c r="Z47" i="4"/>
  <c r="AB47" i="4"/>
  <c r="AD47" i="4"/>
  <c r="AF47" i="4"/>
  <c r="AH47" i="4"/>
  <c r="AJ47" i="4"/>
  <c r="AL47" i="4"/>
  <c r="AN47" i="4"/>
  <c r="P50" i="4"/>
  <c r="O49" i="4"/>
  <c r="R50" i="4"/>
  <c r="Q49" i="4"/>
  <c r="T50" i="4"/>
  <c r="S49" i="4"/>
  <c r="V50" i="4"/>
  <c r="U49" i="4"/>
  <c r="X50" i="4"/>
  <c r="W49" i="4"/>
  <c r="Z50" i="4"/>
  <c r="Y49" i="4"/>
  <c r="AB50" i="4"/>
  <c r="AA49" i="4"/>
  <c r="AD50" i="4"/>
  <c r="AC49" i="4"/>
  <c r="AF50" i="4"/>
  <c r="AE49" i="4"/>
  <c r="AH50" i="4"/>
  <c r="AG49" i="4"/>
  <c r="AJ50" i="4"/>
  <c r="AI49" i="4"/>
  <c r="AL50" i="4"/>
  <c r="AK49" i="4"/>
  <c r="AN50" i="4"/>
  <c r="AM49" i="4"/>
  <c r="G72" i="8"/>
  <c r="D72" i="8"/>
  <c r="E72" i="8" s="1"/>
  <c r="AL73" i="8"/>
  <c r="D73" i="8"/>
  <c r="E73" i="8" s="1"/>
  <c r="G73" i="8"/>
  <c r="AB100" i="8"/>
  <c r="AC100" i="8"/>
  <c r="D116" i="8"/>
  <c r="G116" i="8"/>
  <c r="D117" i="8"/>
  <c r="G117" i="8"/>
  <c r="AB72" i="8"/>
  <c r="AE72" i="8"/>
  <c r="AC72" i="8"/>
  <c r="AU84" i="8"/>
  <c r="AC84" i="8"/>
  <c r="AU96" i="8"/>
  <c r="AC96" i="8"/>
  <c r="AS117" i="8"/>
  <c r="V117" i="8"/>
  <c r="Y117" i="8"/>
  <c r="AT77" i="8"/>
  <c r="AC77" i="8"/>
  <c r="AB89" i="8"/>
  <c r="AC89" i="8"/>
  <c r="AT117" i="8"/>
  <c r="AB117" i="8"/>
  <c r="AE117" i="8"/>
  <c r="L70" i="8"/>
  <c r="E5" i="8"/>
  <c r="I30" i="8"/>
  <c r="M73" i="8"/>
  <c r="K73" i="8"/>
  <c r="J73" i="8"/>
  <c r="AC82" i="8"/>
  <c r="AC126" i="8" s="1"/>
  <c r="AD126" i="8" s="1"/>
  <c r="S73" i="8"/>
  <c r="P73" i="8"/>
  <c r="Q73" i="8" s="1"/>
  <c r="AT75" i="8"/>
  <c r="AC75" i="8"/>
  <c r="AA56" i="8"/>
  <c r="AC56" i="8" s="1"/>
  <c r="AC99" i="8"/>
  <c r="AC143" i="8" s="1"/>
  <c r="AD143" i="8" s="1"/>
  <c r="W73" i="8"/>
  <c r="V73" i="8"/>
  <c r="Y73" i="8"/>
  <c r="AT80" i="8"/>
  <c r="AC80" i="8"/>
  <c r="AU92" i="8"/>
  <c r="AC92" i="8"/>
  <c r="AA30" i="8"/>
  <c r="AB73" i="8"/>
  <c r="AE73" i="8"/>
  <c r="AC73" i="8"/>
  <c r="AA54" i="8"/>
  <c r="AE54" i="8" s="1"/>
  <c r="AC97" i="8"/>
  <c r="J116" i="8"/>
  <c r="M116" i="8"/>
  <c r="AB78" i="8"/>
  <c r="AC78" i="8"/>
  <c r="AQ116" i="8"/>
  <c r="P116" i="8"/>
  <c r="S116" i="8"/>
  <c r="AA40" i="8"/>
  <c r="AE40" i="8" s="1"/>
  <c r="AC83" i="8"/>
  <c r="AA52" i="8"/>
  <c r="AC52" i="8" s="1"/>
  <c r="AC95" i="8"/>
  <c r="V116" i="8"/>
  <c r="Y116" i="8"/>
  <c r="AA45" i="8"/>
  <c r="AB45" i="8" s="1"/>
  <c r="AC88" i="8"/>
  <c r="AU116" i="8"/>
  <c r="AB116" i="8"/>
  <c r="AE116" i="8"/>
  <c r="AO72" i="8"/>
  <c r="J72" i="8"/>
  <c r="M72" i="8"/>
  <c r="K72" i="8"/>
  <c r="E6" i="8"/>
  <c r="E10" i="8" s="1"/>
  <c r="D31" i="15" s="1"/>
  <c r="AC81" i="8"/>
  <c r="AC125" i="8" s="1"/>
  <c r="AD125" i="8" s="1"/>
  <c r="AU93" i="8"/>
  <c r="AC93" i="8"/>
  <c r="AQ72" i="8"/>
  <c r="S72" i="8"/>
  <c r="P72" i="8"/>
  <c r="Q72" i="8" s="1"/>
  <c r="AA31" i="8"/>
  <c r="AB31" i="8" s="1"/>
  <c r="AC74" i="8"/>
  <c r="AU86" i="8"/>
  <c r="AC86" i="8"/>
  <c r="AD86" i="8" s="1"/>
  <c r="AT98" i="8"/>
  <c r="AC98" i="8"/>
  <c r="AO117" i="8"/>
  <c r="J117" i="8"/>
  <c r="M117" i="8"/>
  <c r="I41" i="8"/>
  <c r="M41" i="8" s="1"/>
  <c r="V72" i="8"/>
  <c r="Y72" i="8"/>
  <c r="W72" i="8"/>
  <c r="AC79" i="8"/>
  <c r="AC123" i="8" s="1"/>
  <c r="AD123" i="8" s="1"/>
  <c r="AT91" i="8"/>
  <c r="AC91" i="8"/>
  <c r="AP117" i="8"/>
  <c r="P117" i="8"/>
  <c r="S117" i="8"/>
  <c r="I53" i="8"/>
  <c r="K53" i="8" s="1"/>
  <c r="AA57" i="8"/>
  <c r="AC57" i="8" s="1"/>
  <c r="AD57" i="8" s="1"/>
  <c r="AO42" i="14"/>
  <c r="AO46" i="14"/>
  <c r="AO50" i="14"/>
  <c r="AQ26" i="14"/>
  <c r="BH25" i="14" s="1"/>
  <c r="AQ29" i="14"/>
  <c r="AQ32" i="14"/>
  <c r="AQ35" i="14"/>
  <c r="AP42" i="14"/>
  <c r="AP46" i="14"/>
  <c r="AP50" i="14"/>
  <c r="AN27" i="14"/>
  <c r="AN30" i="14"/>
  <c r="AN33" i="14"/>
  <c r="AO31" i="14"/>
  <c r="AP44" i="14"/>
  <c r="AP28" i="14"/>
  <c r="AQ52" i="14"/>
  <c r="AQ34" i="14"/>
  <c r="AO41" i="14"/>
  <c r="BF41" i="14" s="1"/>
  <c r="AN32" i="14"/>
  <c r="AO26" i="14"/>
  <c r="BF25" i="14" s="1"/>
  <c r="AQ41" i="14"/>
  <c r="BH41" i="14" s="1"/>
  <c r="AP35" i="14"/>
  <c r="AQ42" i="14"/>
  <c r="AQ46" i="14"/>
  <c r="AQ50" i="14"/>
  <c r="AO27" i="14"/>
  <c r="AO30" i="14"/>
  <c r="AO33" i="14"/>
  <c r="AO48" i="14"/>
  <c r="AO34" i="14"/>
  <c r="AP48" i="14"/>
  <c r="AP34" i="14"/>
  <c r="AQ48" i="14"/>
  <c r="AO49" i="14"/>
  <c r="AP41" i="14"/>
  <c r="BG41" i="14" s="1"/>
  <c r="AO35" i="14"/>
  <c r="AP29" i="14"/>
  <c r="AO43" i="14"/>
  <c r="AO47" i="14"/>
  <c r="AO51" i="14"/>
  <c r="AP27" i="14"/>
  <c r="AP30" i="14"/>
  <c r="AP33" i="14"/>
  <c r="AN44" i="14"/>
  <c r="AP43" i="14"/>
  <c r="AP47" i="14"/>
  <c r="AP51" i="14"/>
  <c r="AQ27" i="14"/>
  <c r="AQ30" i="14"/>
  <c r="AQ33" i="14"/>
  <c r="AQ51" i="14"/>
  <c r="AN31" i="14"/>
  <c r="AO44" i="14"/>
  <c r="AO52" i="14"/>
  <c r="AO28" i="14"/>
  <c r="AP52" i="14"/>
  <c r="AP31" i="14"/>
  <c r="AQ28" i="14"/>
  <c r="AN29" i="14"/>
  <c r="AO29" i="14"/>
  <c r="AQ49" i="14"/>
  <c r="AP32" i="14"/>
  <c r="AQ43" i="14"/>
  <c r="AQ47" i="14"/>
  <c r="AN28" i="14"/>
  <c r="AN34" i="14"/>
  <c r="AQ31" i="14"/>
  <c r="AN26" i="14"/>
  <c r="BE25" i="14" s="1"/>
  <c r="AP49" i="14"/>
  <c r="AP26" i="14"/>
  <c r="BG25" i="14" s="1"/>
  <c r="AQ44" i="14"/>
  <c r="AO45" i="14"/>
  <c r="AN35" i="14"/>
  <c r="AP45" i="14"/>
  <c r="AO32" i="14"/>
  <c r="AQ45" i="14"/>
  <c r="AN43" i="14"/>
  <c r="AN51" i="14"/>
  <c r="AN48" i="14"/>
  <c r="AN45" i="14"/>
  <c r="AN42" i="14"/>
  <c r="AN46" i="14"/>
  <c r="AN49" i="14"/>
  <c r="AN52" i="14"/>
  <c r="AN41" i="14"/>
  <c r="BE41" i="14" s="1"/>
  <c r="AN47" i="14"/>
  <c r="AN50" i="14"/>
  <c r="C50" i="8"/>
  <c r="E50" i="8" s="1"/>
  <c r="F50" i="8" s="1"/>
  <c r="O30" i="8"/>
  <c r="D29" i="14"/>
  <c r="G29" i="14" s="1"/>
  <c r="I27" i="8"/>
  <c r="U49" i="8"/>
  <c r="V49" i="8" s="1"/>
  <c r="R128" i="8"/>
  <c r="D39" i="8"/>
  <c r="O40" i="8"/>
  <c r="P40" i="8" s="1"/>
  <c r="I41" i="2"/>
  <c r="AA41" i="8"/>
  <c r="AE41" i="8" s="1"/>
  <c r="C44" i="8"/>
  <c r="G44" i="8" s="1"/>
  <c r="M41" i="2"/>
  <c r="O41" i="2"/>
  <c r="U48" i="8"/>
  <c r="V48" i="8" s="1"/>
  <c r="AA46" i="8"/>
  <c r="AC46" i="8" s="1"/>
  <c r="AD46" i="8" s="1"/>
  <c r="U29" i="8"/>
  <c r="O32" i="8"/>
  <c r="S32" i="8" s="1"/>
  <c r="AA34" i="8"/>
  <c r="AB34" i="8" s="1"/>
  <c r="U39" i="8"/>
  <c r="Y39" i="8" s="1"/>
  <c r="I52" i="8"/>
  <c r="M52" i="8" s="1"/>
  <c r="AU72" i="8"/>
  <c r="H5" i="19"/>
  <c r="O37" i="8"/>
  <c r="Q37" i="8" s="1"/>
  <c r="R37" i="8" s="1"/>
  <c r="AA48" i="8"/>
  <c r="AC48" i="8" s="1"/>
  <c r="AD48" i="8" s="1"/>
  <c r="AA42" i="8"/>
  <c r="AB42" i="8" s="1"/>
  <c r="AM80" i="8"/>
  <c r="D91" i="8"/>
  <c r="E91" i="8" s="1"/>
  <c r="E135" i="8" s="1"/>
  <c r="F135" i="8" s="1"/>
  <c r="AB87" i="8"/>
  <c r="AP122" i="8"/>
  <c r="U30" i="8"/>
  <c r="AA44" i="8"/>
  <c r="AC44" i="8" s="1"/>
  <c r="AD44" i="8" s="1"/>
  <c r="C54" i="8"/>
  <c r="D54" i="8" s="1"/>
  <c r="G36" i="8"/>
  <c r="AA37" i="8"/>
  <c r="AB37" i="8" s="1"/>
  <c r="W91" i="8"/>
  <c r="W135" i="8" s="1"/>
  <c r="X135" i="8" s="1"/>
  <c r="I35" i="8"/>
  <c r="K35" i="8" s="1"/>
  <c r="L35" i="8" s="1"/>
  <c r="I42" i="8"/>
  <c r="J42" i="8" s="1"/>
  <c r="C47" i="8"/>
  <c r="E47" i="8" s="1"/>
  <c r="F47" i="8" s="1"/>
  <c r="AQ130" i="8"/>
  <c r="AO143" i="8"/>
  <c r="D138" i="8"/>
  <c r="I29" i="8"/>
  <c r="AA36" i="8"/>
  <c r="AC36" i="8" s="1"/>
  <c r="AD36" i="8" s="1"/>
  <c r="AA55" i="8"/>
  <c r="AE55" i="8" s="1"/>
  <c r="X68" i="8"/>
  <c r="W76" i="8"/>
  <c r="X76" i="8" s="1"/>
  <c r="O29" i="8"/>
  <c r="AA43" i="8"/>
  <c r="AB43" i="8" s="1"/>
  <c r="U56" i="8"/>
  <c r="W56" i="8" s="1"/>
  <c r="X56" i="8" s="1"/>
  <c r="P131" i="8"/>
  <c r="P142" i="8"/>
  <c r="I44" i="8"/>
  <c r="M44" i="8" s="1"/>
  <c r="AA49" i="8"/>
  <c r="AE49" i="8" s="1"/>
  <c r="AN72" i="8"/>
  <c r="F119" i="8"/>
  <c r="J95" i="8"/>
  <c r="AL138" i="8"/>
  <c r="I31" i="8"/>
  <c r="M31" i="8" s="1"/>
  <c r="K41" i="2"/>
  <c r="U33" i="8"/>
  <c r="Y33" i="8" s="1"/>
  <c r="O46" i="8"/>
  <c r="O52" i="8"/>
  <c r="Q52" i="8" s="1"/>
  <c r="AN95" i="8"/>
  <c r="G37" i="8"/>
  <c r="C53" i="8"/>
  <c r="E53" i="8" s="1"/>
  <c r="F53" i="8" s="1"/>
  <c r="AU87" i="8"/>
  <c r="AB133" i="8"/>
  <c r="D140" i="8"/>
  <c r="D84" i="8"/>
  <c r="E84" i="8" s="1"/>
  <c r="E128" i="8" s="1"/>
  <c r="F128" i="8" s="1"/>
  <c r="V94" i="8"/>
  <c r="J100" i="8"/>
  <c r="AA38" i="8"/>
  <c r="W94" i="8"/>
  <c r="W138" i="8" s="1"/>
  <c r="X138" i="8" s="1"/>
  <c r="AB98" i="8"/>
  <c r="AM142" i="8"/>
  <c r="AS94" i="8"/>
  <c r="AU98" i="8"/>
  <c r="AB84" i="8"/>
  <c r="C41" i="8"/>
  <c r="D41" i="8" s="1"/>
  <c r="U51" i="8"/>
  <c r="Y51" i="8" s="1"/>
  <c r="AC122" i="8"/>
  <c r="AD122" i="8" s="1"/>
  <c r="K83" i="8"/>
  <c r="K127" i="8" s="1"/>
  <c r="L127" i="8" s="1"/>
  <c r="U27" i="8"/>
  <c r="Y27" i="8" s="1"/>
  <c r="I26" i="8"/>
  <c r="M26" i="8" s="1"/>
  <c r="I39" i="8"/>
  <c r="I50" i="8"/>
  <c r="D99" i="8"/>
  <c r="E99" i="8" s="1"/>
  <c r="E143" i="8" s="1"/>
  <c r="F143" i="8" s="1"/>
  <c r="V124" i="8"/>
  <c r="AN78" i="8"/>
  <c r="AR80" i="8"/>
  <c r="AO97" i="8"/>
  <c r="AR124" i="8"/>
  <c r="G32" i="8"/>
  <c r="S43" i="8"/>
  <c r="C56" i="8"/>
  <c r="G56" i="8" s="1"/>
  <c r="X70" i="8"/>
  <c r="AS80" i="8"/>
  <c r="AR82" i="8"/>
  <c r="J123" i="8"/>
  <c r="P135" i="8"/>
  <c r="Q43" i="8"/>
  <c r="R43" i="8" s="1"/>
  <c r="U28" i="8"/>
  <c r="Y28" i="8" s="1"/>
  <c r="AB75" i="8"/>
  <c r="AT84" i="8"/>
  <c r="D93" i="8"/>
  <c r="E93" i="8" s="1"/>
  <c r="E137" i="8" s="1"/>
  <c r="F137" i="8" s="1"/>
  <c r="J98" i="8"/>
  <c r="AL99" i="8"/>
  <c r="AP142" i="8"/>
  <c r="AN135" i="8"/>
  <c r="U25" i="8"/>
  <c r="Y25" i="8" s="1"/>
  <c r="AA33" i="8"/>
  <c r="AB33" i="8" s="1"/>
  <c r="J93" i="8"/>
  <c r="AN93" i="8" s="1"/>
  <c r="AB96" i="8"/>
  <c r="AR99" i="8"/>
  <c r="AN123" i="8"/>
  <c r="AP131" i="8"/>
  <c r="AP141" i="8"/>
  <c r="U34" i="8"/>
  <c r="Y34" i="8" s="1"/>
  <c r="G38" i="8"/>
  <c r="I49" i="8"/>
  <c r="J49" i="8" s="1"/>
  <c r="U57" i="8"/>
  <c r="V57" i="8" s="1"/>
  <c r="AC140" i="8"/>
  <c r="AD140" i="8" s="1"/>
  <c r="AO127" i="8"/>
  <c r="AQ141" i="8"/>
  <c r="O27" i="8"/>
  <c r="S27" i="8" s="1"/>
  <c r="AA53" i="8"/>
  <c r="AE53" i="8" s="1"/>
  <c r="J78" i="8"/>
  <c r="AT81" i="8"/>
  <c r="F141" i="8"/>
  <c r="F144" i="8"/>
  <c r="AP91" i="8"/>
  <c r="AU117" i="8"/>
  <c r="D40" i="8"/>
  <c r="E40" i="8" s="1"/>
  <c r="F40" i="8" s="1"/>
  <c r="G40" i="8"/>
  <c r="V42" i="8"/>
  <c r="Y42" i="8"/>
  <c r="O36" i="8"/>
  <c r="P36" i="8" s="1"/>
  <c r="AA32" i="8"/>
  <c r="AC32" i="8" s="1"/>
  <c r="AD32" i="8" s="1"/>
  <c r="O41" i="8"/>
  <c r="P41" i="8" s="1"/>
  <c r="S70" i="8"/>
  <c r="P77" i="8"/>
  <c r="Q77" i="8" s="1"/>
  <c r="Q121" i="8" s="1"/>
  <c r="AO78" i="8"/>
  <c r="X126" i="8"/>
  <c r="W85" i="8"/>
  <c r="W129" i="8" s="1"/>
  <c r="X129" i="8" s="1"/>
  <c r="AB94" i="8"/>
  <c r="AT94" i="8" s="1"/>
  <c r="AL118" i="8"/>
  <c r="J126" i="8"/>
  <c r="AN126" i="8" s="1"/>
  <c r="C43" i="8"/>
  <c r="G43" i="8" s="1"/>
  <c r="AO116" i="8"/>
  <c r="O31" i="8"/>
  <c r="P31" i="8" s="1"/>
  <c r="I33" i="8"/>
  <c r="J33" i="8" s="1"/>
  <c r="U41" i="8"/>
  <c r="W41" i="8" s="1"/>
  <c r="Y84" i="8" s="1"/>
  <c r="U53" i="8"/>
  <c r="V53" i="8" s="1"/>
  <c r="I56" i="8"/>
  <c r="J56" i="8" s="1"/>
  <c r="AE115" i="8"/>
  <c r="U31" i="8"/>
  <c r="M46" i="8"/>
  <c r="O48" i="8"/>
  <c r="P48" i="8" s="1"/>
  <c r="AT72" i="8"/>
  <c r="AQ82" i="8"/>
  <c r="AP85" i="8"/>
  <c r="K96" i="8"/>
  <c r="L96" i="8" s="1"/>
  <c r="AL142" i="8"/>
  <c r="AB129" i="8"/>
  <c r="AB134" i="8"/>
  <c r="O34" i="8"/>
  <c r="Q34" i="8" s="1"/>
  <c r="R34" i="8" s="1"/>
  <c r="O39" i="8"/>
  <c r="P39" i="8" s="1"/>
  <c r="AA51" i="8"/>
  <c r="D83" i="8"/>
  <c r="E83" i="8" s="1"/>
  <c r="E127" i="8" s="1"/>
  <c r="F127" i="8" s="1"/>
  <c r="L136" i="8"/>
  <c r="K99" i="8"/>
  <c r="K143" i="8" s="1"/>
  <c r="L143" i="8" s="1"/>
  <c r="V119" i="8"/>
  <c r="P128" i="8"/>
  <c r="V133" i="8"/>
  <c r="J99" i="8"/>
  <c r="C52" i="8"/>
  <c r="D52" i="8" s="1"/>
  <c r="AT126" i="8"/>
  <c r="AN90" i="8"/>
  <c r="C12" i="17"/>
  <c r="AA29" i="8"/>
  <c r="I32" i="8"/>
  <c r="M32" i="8" s="1"/>
  <c r="O35" i="8"/>
  <c r="P35" i="8" s="1"/>
  <c r="I47" i="8"/>
  <c r="K47" i="8" s="1"/>
  <c r="L47" i="8" s="1"/>
  <c r="M55" i="8"/>
  <c r="AS76" i="8"/>
  <c r="F129" i="8"/>
  <c r="P95" i="8"/>
  <c r="Q95" i="8" s="1"/>
  <c r="AT96" i="8"/>
  <c r="D120" i="8"/>
  <c r="AB128" i="8"/>
  <c r="AR133" i="8"/>
  <c r="O47" i="8"/>
  <c r="Q47" i="8" s="1"/>
  <c r="R47" i="8" s="1"/>
  <c r="AB49" i="8"/>
  <c r="M70" i="8"/>
  <c r="D82" i="8"/>
  <c r="E82" i="8" s="1"/>
  <c r="F82" i="8" s="1"/>
  <c r="P83" i="8"/>
  <c r="Q83" i="8" s="1"/>
  <c r="Q127" i="8" s="1"/>
  <c r="R127" i="8" s="1"/>
  <c r="AR92" i="8"/>
  <c r="P122" i="8"/>
  <c r="D124" i="8"/>
  <c r="J142" i="8"/>
  <c r="O38" i="8"/>
  <c r="P38" i="8" s="1"/>
  <c r="AT128" i="8"/>
  <c r="AU133" i="8"/>
  <c r="Q32" i="8"/>
  <c r="R32" i="8" s="1"/>
  <c r="M57" i="8"/>
  <c r="AP74" i="8"/>
  <c r="AU75" i="8"/>
  <c r="AU79" i="8"/>
  <c r="AN84" i="8"/>
  <c r="AT87" i="8"/>
  <c r="AM95" i="8"/>
  <c r="L114" i="8"/>
  <c r="AR135" i="8"/>
  <c r="AS135" i="8"/>
  <c r="AO138" i="8"/>
  <c r="D90" i="8"/>
  <c r="E90" i="8" s="1"/>
  <c r="E134" i="8" s="1"/>
  <c r="F134" i="8" s="1"/>
  <c r="AD71" i="8"/>
  <c r="K75" i="8"/>
  <c r="L75" i="8" s="1"/>
  <c r="K76" i="8"/>
  <c r="K120" i="8" s="1"/>
  <c r="L120" i="8" s="1"/>
  <c r="AS82" i="8"/>
  <c r="J84" i="8"/>
  <c r="F85" i="8"/>
  <c r="J91" i="8"/>
  <c r="D96" i="8"/>
  <c r="E96" i="8" s="1"/>
  <c r="E140" i="8" s="1"/>
  <c r="F140" i="8" s="1"/>
  <c r="AB122" i="8"/>
  <c r="AQ123" i="8"/>
  <c r="AB126" i="8"/>
  <c r="D136" i="8"/>
  <c r="AL137" i="8"/>
  <c r="M51" i="8"/>
  <c r="F70" i="8"/>
  <c r="AU78" i="8"/>
  <c r="K84" i="8"/>
  <c r="L84" i="8" s="1"/>
  <c r="AL86" i="8"/>
  <c r="J90" i="8"/>
  <c r="V92" i="8"/>
  <c r="W99" i="8"/>
  <c r="W143" i="8" s="1"/>
  <c r="W100" i="8"/>
  <c r="X100" i="8" s="1"/>
  <c r="R112" i="8"/>
  <c r="AL126" i="8"/>
  <c r="J135" i="8"/>
  <c r="AB140" i="8"/>
  <c r="AQ77" i="8"/>
  <c r="K90" i="8"/>
  <c r="K134" i="8" s="1"/>
  <c r="L134" i="8" s="1"/>
  <c r="W92" i="8"/>
  <c r="W136" i="8" s="1"/>
  <c r="X136" i="8" s="1"/>
  <c r="AN98" i="8"/>
  <c r="Y114" i="8"/>
  <c r="AQ117" i="8"/>
  <c r="AT122" i="8"/>
  <c r="AJ35" i="14"/>
  <c r="AM34" i="14"/>
  <c r="AG32" i="14"/>
  <c r="AL35" i="14"/>
  <c r="AF33" i="14"/>
  <c r="AE35" i="14"/>
  <c r="AG34" i="14"/>
  <c r="AF31" i="14"/>
  <c r="AE33" i="14"/>
  <c r="AF32" i="14"/>
  <c r="AK35" i="14"/>
  <c r="AE34" i="14"/>
  <c r="AH32" i="14"/>
  <c r="AI32" i="14"/>
  <c r="AM35" i="14"/>
  <c r="AF34" i="14"/>
  <c r="AL32" i="14"/>
  <c r="AJ33" i="14"/>
  <c r="AH34" i="14"/>
  <c r="AL33" i="14"/>
  <c r="AM33" i="14"/>
  <c r="AL34" i="14"/>
  <c r="AJ32" i="14"/>
  <c r="AK32" i="14"/>
  <c r="AI33" i="14"/>
  <c r="AM32" i="14"/>
  <c r="AE32" i="14"/>
  <c r="AK34" i="14"/>
  <c r="AG33" i="14"/>
  <c r="AK33" i="14"/>
  <c r="AG35" i="14"/>
  <c r="AH33" i="14"/>
  <c r="AF35" i="14"/>
  <c r="AJ34" i="14"/>
  <c r="AI35" i="14"/>
  <c r="AI34" i="14"/>
  <c r="AH35" i="14"/>
  <c r="O26" i="8"/>
  <c r="S26" i="8" s="1"/>
  <c r="G71" i="8"/>
  <c r="J74" i="8"/>
  <c r="V76" i="8"/>
  <c r="D79" i="8"/>
  <c r="E79" i="8" s="1"/>
  <c r="E123" i="8" s="1"/>
  <c r="F123" i="8" s="1"/>
  <c r="AN116" i="8"/>
  <c r="AM125" i="8"/>
  <c r="AT140" i="8"/>
  <c r="J143" i="8"/>
  <c r="K38" i="8"/>
  <c r="L38" i="8" s="1"/>
  <c r="V39" i="8"/>
  <c r="P74" i="8"/>
  <c r="Q74" i="8" s="1"/>
  <c r="R74" i="8" s="1"/>
  <c r="V84" i="8"/>
  <c r="AL91" i="8"/>
  <c r="AT92" i="8"/>
  <c r="AO99" i="8"/>
  <c r="AD114" i="8"/>
  <c r="AT116" i="8"/>
  <c r="AS119" i="8"/>
  <c r="AQ121" i="8"/>
  <c r="D126" i="8"/>
  <c r="V131" i="8"/>
  <c r="AN139" i="8"/>
  <c r="R69" i="8"/>
  <c r="AO75" i="8"/>
  <c r="AM90" i="8"/>
  <c r="AP100" i="8"/>
  <c r="G114" i="8"/>
  <c r="AS136" i="8"/>
  <c r="AU139" i="8"/>
  <c r="AQ134" i="8"/>
  <c r="K57" i="8"/>
  <c r="L57" i="8" s="1"/>
  <c r="V82" i="8"/>
  <c r="AL84" i="8"/>
  <c r="D86" i="8"/>
  <c r="E86" i="8" s="1"/>
  <c r="E130" i="8" s="1"/>
  <c r="F130" i="8" s="1"/>
  <c r="AS91" i="8"/>
  <c r="AM96" i="8"/>
  <c r="P123" i="8"/>
  <c r="P130" i="8"/>
  <c r="AR134" i="8"/>
  <c r="AG30" i="14"/>
  <c r="AM50" i="14"/>
  <c r="AM51" i="14"/>
  <c r="AK52" i="14"/>
  <c r="AF52" i="14"/>
  <c r="AG52" i="14"/>
  <c r="AM49" i="14"/>
  <c r="AJ50" i="14"/>
  <c r="AJ52" i="14"/>
  <c r="AE49" i="14"/>
  <c r="AL52" i="14"/>
  <c r="AG51" i="14"/>
  <c r="AK49" i="14"/>
  <c r="AI52" i="14"/>
  <c r="AL51" i="14"/>
  <c r="AF49" i="14"/>
  <c r="AM52" i="14"/>
  <c r="AG49" i="14"/>
  <c r="AH49" i="14"/>
  <c r="AE50" i="14"/>
  <c r="AE51" i="14"/>
  <c r="AG50" i="14"/>
  <c r="AH51" i="14"/>
  <c r="AI50" i="14"/>
  <c r="AI51" i="14"/>
  <c r="AJ51" i="14"/>
  <c r="AK50" i="14"/>
  <c r="AL50" i="14"/>
  <c r="AI49" i="14"/>
  <c r="AF50" i="14"/>
  <c r="AF51" i="14"/>
  <c r="AJ49" i="14"/>
  <c r="AE52" i="14"/>
  <c r="AH50" i="14"/>
  <c r="AL49" i="14"/>
  <c r="AH52" i="14"/>
  <c r="AK51" i="14"/>
  <c r="AE42" i="14"/>
  <c r="AH43" i="14"/>
  <c r="AK44" i="14"/>
  <c r="AE46" i="14"/>
  <c r="AH47" i="14"/>
  <c r="AK48" i="14"/>
  <c r="AM28" i="14"/>
  <c r="AG31" i="14"/>
  <c r="AK30" i="14"/>
  <c r="AG28" i="14"/>
  <c r="AK27" i="14"/>
  <c r="AL27" i="14"/>
  <c r="AF29" i="14"/>
  <c r="AK28" i="14"/>
  <c r="AI26" i="14"/>
  <c r="AK26" i="14"/>
  <c r="AL41" i="14"/>
  <c r="BC41" i="14" s="1"/>
  <c r="AL26" i="14"/>
  <c r="AJ44" i="14"/>
  <c r="AJ27" i="14"/>
  <c r="AF42" i="14"/>
  <c r="AI43" i="14"/>
  <c r="AL44" i="14"/>
  <c r="AF46" i="14"/>
  <c r="AI47" i="14"/>
  <c r="AL48" i="14"/>
  <c r="AM29" i="14"/>
  <c r="AH31" i="14"/>
  <c r="AL30" i="14"/>
  <c r="AH28" i="14"/>
  <c r="AH26" i="14"/>
  <c r="AE47" i="14"/>
  <c r="AG47" i="14"/>
  <c r="AJ30" i="14"/>
  <c r="AG42" i="14"/>
  <c r="AJ43" i="14"/>
  <c r="AM44" i="14"/>
  <c r="AG46" i="14"/>
  <c r="AJ47" i="14"/>
  <c r="AM48" i="14"/>
  <c r="AM30" i="14"/>
  <c r="AI31" i="14"/>
  <c r="AE30" i="14"/>
  <c r="AI28" i="14"/>
  <c r="AE27" i="14"/>
  <c r="AG29" i="14"/>
  <c r="AJ29" i="14"/>
  <c r="AE41" i="14"/>
  <c r="AV41" i="14" s="1"/>
  <c r="AH42" i="14"/>
  <c r="AK43" i="14"/>
  <c r="AE45" i="14"/>
  <c r="AH46" i="14"/>
  <c r="AK47" i="14"/>
  <c r="AF41" i="14"/>
  <c r="AW41" i="14" s="1"/>
  <c r="AM31" i="14"/>
  <c r="AJ31" i="14"/>
  <c r="AL29" i="14"/>
  <c r="AJ28" i="14"/>
  <c r="AF26" i="14"/>
  <c r="AG26" i="14"/>
  <c r="AJ26" i="14"/>
  <c r="AK29" i="14"/>
  <c r="AI42" i="14"/>
  <c r="AL43" i="14"/>
  <c r="AF45" i="14"/>
  <c r="AI46" i="14"/>
  <c r="AL47" i="14"/>
  <c r="AG41" i="14"/>
  <c r="AX41" i="14" s="1"/>
  <c r="AK31" i="14"/>
  <c r="AF27" i="14"/>
  <c r="AK45" i="14"/>
  <c r="AJ42" i="14"/>
  <c r="AM43" i="14"/>
  <c r="AG45" i="14"/>
  <c r="AJ46" i="14"/>
  <c r="AM47" i="14"/>
  <c r="AH41" i="14"/>
  <c r="AY41" i="14" s="1"/>
  <c r="AL31" i="14"/>
  <c r="AL28" i="14"/>
  <c r="AH48" i="14"/>
  <c r="AK42" i="14"/>
  <c r="AE44" i="14"/>
  <c r="AH45" i="14"/>
  <c r="AK46" i="14"/>
  <c r="AE48" i="14"/>
  <c r="AI41" i="14"/>
  <c r="AZ41" i="14" s="1"/>
  <c r="AE31" i="14"/>
  <c r="AH29" i="14"/>
  <c r="AE28" i="14"/>
  <c r="AE43" i="14"/>
  <c r="AH30" i="14"/>
  <c r="AJ48" i="14"/>
  <c r="AF28" i="14"/>
  <c r="AL42" i="14"/>
  <c r="AF44" i="14"/>
  <c r="AI45" i="14"/>
  <c r="AL46" i="14"/>
  <c r="AF48" i="14"/>
  <c r="AJ41" i="14"/>
  <c r="BA41" i="14" s="1"/>
  <c r="AF30" i="14"/>
  <c r="AI29" i="14"/>
  <c r="AH44" i="14"/>
  <c r="AH27" i="14"/>
  <c r="AM42" i="14"/>
  <c r="AG44" i="14"/>
  <c r="AJ45" i="14"/>
  <c r="AM46" i="14"/>
  <c r="AG48" i="14"/>
  <c r="AK41" i="14"/>
  <c r="BB41" i="14" s="1"/>
  <c r="AG27" i="14"/>
  <c r="AM45" i="14"/>
  <c r="AF43" i="14"/>
  <c r="AI44" i="14"/>
  <c r="AL45" i="14"/>
  <c r="AF47" i="14"/>
  <c r="AI48" i="14"/>
  <c r="AM41" i="14"/>
  <c r="BD41" i="14" s="1"/>
  <c r="AM26" i="14"/>
  <c r="AI30" i="14"/>
  <c r="AE29" i="14"/>
  <c r="AI27" i="14"/>
  <c r="AE26" i="14"/>
  <c r="AG43" i="14"/>
  <c r="AM27" i="14"/>
  <c r="Q49" i="8"/>
  <c r="R49" i="8" s="1"/>
  <c r="P49" i="8"/>
  <c r="S49" i="8"/>
  <c r="S33" i="8"/>
  <c r="P33" i="8"/>
  <c r="Q33" i="8"/>
  <c r="R33" i="8" s="1"/>
  <c r="W37" i="8"/>
  <c r="X37" i="8" s="1"/>
  <c r="Y37" i="8"/>
  <c r="V37" i="8"/>
  <c r="V87" i="8"/>
  <c r="F100" i="8"/>
  <c r="P119" i="8"/>
  <c r="D133" i="8"/>
  <c r="V79" i="8"/>
  <c r="AD82" i="8"/>
  <c r="P94" i="8"/>
  <c r="Q94" i="8" s="1"/>
  <c r="R94" i="8" s="1"/>
  <c r="AB121" i="8"/>
  <c r="V140" i="8"/>
  <c r="I25" i="8"/>
  <c r="M25" i="8" s="1"/>
  <c r="G26" i="8"/>
  <c r="AA26" i="8"/>
  <c r="AE26" i="8" s="1"/>
  <c r="Y32" i="8"/>
  <c r="AR73" i="8"/>
  <c r="AL75" i="8"/>
  <c r="AM75" i="8" s="1"/>
  <c r="J77" i="8"/>
  <c r="D78" i="8"/>
  <c r="E78" i="8" s="1"/>
  <c r="E122" i="8" s="1"/>
  <c r="F122" i="8" s="1"/>
  <c r="W79" i="8"/>
  <c r="W123" i="8" s="1"/>
  <c r="X123" i="8" s="1"/>
  <c r="K80" i="8"/>
  <c r="K124" i="8" s="1"/>
  <c r="L124" i="8" s="1"/>
  <c r="AU81" i="8"/>
  <c r="AB86" i="8"/>
  <c r="W89" i="8"/>
  <c r="W133" i="8" s="1"/>
  <c r="X133" i="8" s="1"/>
  <c r="AQ91" i="8"/>
  <c r="V93" i="8"/>
  <c r="AS93" i="8" s="1"/>
  <c r="D95" i="8"/>
  <c r="E95" i="8" s="1"/>
  <c r="E139" i="8" s="1"/>
  <c r="AQ95" i="8"/>
  <c r="P98" i="8"/>
  <c r="Q98" i="8" s="1"/>
  <c r="Q142" i="8" s="1"/>
  <c r="R142" i="8" s="1"/>
  <c r="AQ100" i="8"/>
  <c r="S113" i="8"/>
  <c r="F115" i="8"/>
  <c r="AP116" i="8"/>
  <c r="AL121" i="8"/>
  <c r="V123" i="8"/>
  <c r="V128" i="8"/>
  <c r="V129" i="8"/>
  <c r="J131" i="8"/>
  <c r="D132" i="8"/>
  <c r="AQ135" i="8"/>
  <c r="AP136" i="8"/>
  <c r="AM137" i="8"/>
  <c r="AB138" i="8"/>
  <c r="AU138" i="8" s="1"/>
  <c r="V139" i="8"/>
  <c r="AM143" i="8"/>
  <c r="AL144" i="8"/>
  <c r="AO73" i="8"/>
  <c r="J80" i="8"/>
  <c r="P88" i="8"/>
  <c r="Q88" i="8" s="1"/>
  <c r="Q132" i="8" s="1"/>
  <c r="R132" i="8" s="1"/>
  <c r="P118" i="8"/>
  <c r="P124" i="8"/>
  <c r="J130" i="8"/>
  <c r="V141" i="8"/>
  <c r="AB144" i="8"/>
  <c r="AA28" i="8"/>
  <c r="AE28" i="8" s="1"/>
  <c r="AA35" i="8"/>
  <c r="AB35" i="8" s="1"/>
  <c r="U36" i="8"/>
  <c r="I45" i="8"/>
  <c r="M45" i="8" s="1"/>
  <c r="U46" i="8"/>
  <c r="F68" i="8"/>
  <c r="AD68" i="8"/>
  <c r="Y69" i="8"/>
  <c r="L71" i="8"/>
  <c r="AL72" i="8"/>
  <c r="AS73" i="8"/>
  <c r="AN75" i="8"/>
  <c r="AT78" i="8"/>
  <c r="AP82" i="8"/>
  <c r="AS84" i="8"/>
  <c r="AR91" i="8"/>
  <c r="AS100" i="8"/>
  <c r="X112" i="8"/>
  <c r="AM121" i="8"/>
  <c r="AL125" i="8"/>
  <c r="AR136" i="8"/>
  <c r="AN137" i="8"/>
  <c r="AN144" i="8"/>
  <c r="U50" i="8"/>
  <c r="G27" i="8"/>
  <c r="O55" i="8"/>
  <c r="S55" i="8" s="1"/>
  <c r="O57" i="8"/>
  <c r="V80" i="8"/>
  <c r="AN87" i="8"/>
  <c r="AN88" i="8"/>
  <c r="AP89" i="8"/>
  <c r="AQ89" i="8" s="1"/>
  <c r="AL93" i="8"/>
  <c r="K95" i="8"/>
  <c r="AN96" i="8"/>
  <c r="X113" i="8"/>
  <c r="M115" i="8"/>
  <c r="AR117" i="8"/>
  <c r="AM118" i="8"/>
  <c r="AB119" i="8"/>
  <c r="AL120" i="8"/>
  <c r="AR121" i="8"/>
  <c r="AP124" i="8"/>
  <c r="AN125" i="8"/>
  <c r="AL128" i="8"/>
  <c r="AP129" i="8"/>
  <c r="AT137" i="8"/>
  <c r="AN138" i="8"/>
  <c r="AP140" i="8"/>
  <c r="AR141" i="8"/>
  <c r="AQ143" i="8"/>
  <c r="G28" i="8"/>
  <c r="I36" i="8"/>
  <c r="I40" i="8"/>
  <c r="J40" i="8" s="1"/>
  <c r="O42" i="8"/>
  <c r="O56" i="8"/>
  <c r="L68" i="8"/>
  <c r="G69" i="8"/>
  <c r="AD69" i="8"/>
  <c r="S71" i="8"/>
  <c r="AL76" i="8"/>
  <c r="AO79" i="8"/>
  <c r="W80" i="8"/>
  <c r="X80" i="8" s="1"/>
  <c r="AT86" i="8"/>
  <c r="AP88" i="8"/>
  <c r="AO96" i="8"/>
  <c r="AL97" i="8"/>
  <c r="F112" i="8"/>
  <c r="AE112" i="8"/>
  <c r="AN118" i="8"/>
  <c r="AN119" i="8"/>
  <c r="AS121" i="8"/>
  <c r="AQ129" i="8"/>
  <c r="AL130" i="8"/>
  <c r="AQ140" i="8"/>
  <c r="AA39" i="8"/>
  <c r="AB39" i="8" s="1"/>
  <c r="P97" i="8"/>
  <c r="Q97" i="8" s="1"/>
  <c r="O45" i="8"/>
  <c r="S45" i="8" s="1"/>
  <c r="G33" i="8"/>
  <c r="I34" i="8"/>
  <c r="J34" i="8" s="1"/>
  <c r="U38" i="8"/>
  <c r="S52" i="8"/>
  <c r="AM76" i="8"/>
  <c r="AP79" i="8"/>
  <c r="AR89" i="8"/>
  <c r="J92" i="8"/>
  <c r="AR93" i="8"/>
  <c r="AM97" i="8"/>
  <c r="AP118" i="8"/>
  <c r="AO119" i="8"/>
  <c r="AT121" i="8"/>
  <c r="AR123" i="8"/>
  <c r="AU127" i="8"/>
  <c r="AR129" i="8"/>
  <c r="AM130" i="8"/>
  <c r="AB132" i="8"/>
  <c r="P134" i="8"/>
  <c r="AT138" i="8"/>
  <c r="D144" i="8"/>
  <c r="I28" i="8"/>
  <c r="M28" i="8" s="1"/>
  <c r="AA47" i="8"/>
  <c r="AE47" i="8" s="1"/>
  <c r="AR79" i="8"/>
  <c r="AN83" i="8"/>
  <c r="AP94" i="8"/>
  <c r="AP119" i="8"/>
  <c r="AN131" i="8"/>
  <c r="AL132" i="8"/>
  <c r="V32" i="8"/>
  <c r="AB99" i="8"/>
  <c r="P32" i="8"/>
  <c r="U40" i="8"/>
  <c r="V43" i="8"/>
  <c r="K51" i="8"/>
  <c r="L51" i="8" s="1"/>
  <c r="M69" i="8"/>
  <c r="X71" i="8"/>
  <c r="AQ83" i="8"/>
  <c r="P85" i="8"/>
  <c r="Q85" i="8" s="1"/>
  <c r="Q129" i="8" s="1"/>
  <c r="R129" i="8" s="1"/>
  <c r="P92" i="8"/>
  <c r="Q92" i="8" s="1"/>
  <c r="Q136" i="8" s="1"/>
  <c r="AP97" i="8"/>
  <c r="AT99" i="8"/>
  <c r="M112" i="8"/>
  <c r="F113" i="8"/>
  <c r="AN132" i="8"/>
  <c r="AL133" i="8"/>
  <c r="P136" i="8"/>
  <c r="AQ136" i="8" s="1"/>
  <c r="J137" i="8"/>
  <c r="AO137" i="8" s="1"/>
  <c r="O54" i="8"/>
  <c r="AP98" i="8"/>
  <c r="AU99" i="8"/>
  <c r="W43" i="8"/>
  <c r="X43" i="8" s="1"/>
  <c r="G25" i="8"/>
  <c r="AA25" i="8"/>
  <c r="AE25" i="8" s="1"/>
  <c r="U26" i="8"/>
  <c r="Y26" i="8" s="1"/>
  <c r="O28" i="8"/>
  <c r="S28" i="8" s="1"/>
  <c r="I37" i="8"/>
  <c r="W42" i="8"/>
  <c r="X42" i="8" s="1"/>
  <c r="K46" i="8"/>
  <c r="L46" i="8" s="1"/>
  <c r="M48" i="8"/>
  <c r="O51" i="8"/>
  <c r="AL78" i="8"/>
  <c r="P79" i="8"/>
  <c r="Q79" i="8" s="1"/>
  <c r="AN80" i="8"/>
  <c r="AB81" i="8"/>
  <c r="J83" i="8"/>
  <c r="K93" i="8"/>
  <c r="J125" i="8"/>
  <c r="X32" i="8"/>
  <c r="R52" i="8"/>
  <c r="Q133" i="8"/>
  <c r="R133" i="8" s="1"/>
  <c r="R89" i="8"/>
  <c r="AS98" i="8"/>
  <c r="AR98" i="8"/>
  <c r="W98" i="8"/>
  <c r="V98" i="8"/>
  <c r="M38" i="8"/>
  <c r="AC43" i="8"/>
  <c r="Y52" i="8"/>
  <c r="V52" i="8"/>
  <c r="AT73" i="8"/>
  <c r="AU73" i="8"/>
  <c r="F75" i="8"/>
  <c r="AQ76" i="8"/>
  <c r="AP76" i="8"/>
  <c r="J81" i="8"/>
  <c r="AO81" i="8"/>
  <c r="M43" i="8"/>
  <c r="J43" i="8"/>
  <c r="W52" i="8"/>
  <c r="X52" i="8" s="1"/>
  <c r="P76" i="8"/>
  <c r="Q76" i="8" s="1"/>
  <c r="J79" i="8"/>
  <c r="AN79" i="8"/>
  <c r="K81" i="8"/>
  <c r="M81" i="8" s="1"/>
  <c r="D94" i="8"/>
  <c r="E94" i="8" s="1"/>
  <c r="AM94" i="8"/>
  <c r="AL94" i="8"/>
  <c r="C51" i="8"/>
  <c r="K54" i="8"/>
  <c r="L54" i="8" s="1"/>
  <c r="M54" i="8"/>
  <c r="J54" i="8"/>
  <c r="K43" i="8"/>
  <c r="L43" i="8" s="1"/>
  <c r="V44" i="8"/>
  <c r="G57" i="8"/>
  <c r="E57" i="8"/>
  <c r="K123" i="8"/>
  <c r="L123" i="8" s="1"/>
  <c r="L79" i="8"/>
  <c r="AR88" i="8"/>
  <c r="W88" i="8"/>
  <c r="V88" i="8"/>
  <c r="AS88" i="8" s="1"/>
  <c r="AS95" i="8"/>
  <c r="AR95" i="8"/>
  <c r="W95" i="8"/>
  <c r="V95" i="8"/>
  <c r="G48" i="8"/>
  <c r="D48" i="8"/>
  <c r="Q125" i="8"/>
  <c r="R125" i="8" s="1"/>
  <c r="R81" i="8"/>
  <c r="V90" i="8"/>
  <c r="AR90" i="8"/>
  <c r="W90" i="8"/>
  <c r="AU95" i="8"/>
  <c r="AT95" i="8"/>
  <c r="AB95" i="8"/>
  <c r="D31" i="8"/>
  <c r="Y44" i="8"/>
  <c r="E48" i="8"/>
  <c r="Y54" i="8"/>
  <c r="W54" i="8"/>
  <c r="V54" i="8"/>
  <c r="F97" i="8"/>
  <c r="E31" i="8"/>
  <c r="Y35" i="8"/>
  <c r="W35" i="8"/>
  <c r="U55" i="8"/>
  <c r="AU74" i="8"/>
  <c r="AB74" i="8"/>
  <c r="AT74" i="8"/>
  <c r="AB83" i="8"/>
  <c r="AU83" i="8"/>
  <c r="AT83" i="8"/>
  <c r="K86" i="8"/>
  <c r="AN86" i="8"/>
  <c r="J86" i="8"/>
  <c r="AO86" i="8"/>
  <c r="Y45" i="8"/>
  <c r="V45" i="8"/>
  <c r="W45" i="8" s="1"/>
  <c r="X45" i="8" s="1"/>
  <c r="K48" i="8"/>
  <c r="W49" i="8"/>
  <c r="AC54" i="8"/>
  <c r="R68" i="8"/>
  <c r="S68" i="8"/>
  <c r="K122" i="8"/>
  <c r="L122" i="8" s="1"/>
  <c r="L78" i="8"/>
  <c r="K128" i="8"/>
  <c r="L128" i="8" s="1"/>
  <c r="D89" i="8"/>
  <c r="E89" i="8" s="1"/>
  <c r="AM89" i="8"/>
  <c r="AL89" i="8"/>
  <c r="C46" i="8"/>
  <c r="Y47" i="8"/>
  <c r="W47" i="8"/>
  <c r="AD70" i="8"/>
  <c r="AE70" i="8"/>
  <c r="Q126" i="8"/>
  <c r="R126" i="8" s="1"/>
  <c r="R82" i="8"/>
  <c r="D37" i="8"/>
  <c r="G45" i="8"/>
  <c r="D45" i="8"/>
  <c r="V47" i="8"/>
  <c r="P50" i="8"/>
  <c r="Q50" i="8"/>
  <c r="R50" i="8" s="1"/>
  <c r="P52" i="8"/>
  <c r="P80" i="8"/>
  <c r="Q80" i="8" s="1"/>
  <c r="AQ80" i="8"/>
  <c r="AN81" i="8"/>
  <c r="AP87" i="8"/>
  <c r="P87" i="8"/>
  <c r="Q87" i="8" s="1"/>
  <c r="O44" i="8"/>
  <c r="AQ87" i="8"/>
  <c r="E45" i="8"/>
  <c r="AS90" i="8"/>
  <c r="AR74" i="8"/>
  <c r="V74" i="8"/>
  <c r="AS75" i="8"/>
  <c r="W75" i="8"/>
  <c r="AR75" i="8"/>
  <c r="AP78" i="8"/>
  <c r="P78" i="8"/>
  <c r="Q78" i="8" s="1"/>
  <c r="AL85" i="8"/>
  <c r="P86" i="8"/>
  <c r="Q86" i="8" s="1"/>
  <c r="AQ86" i="8"/>
  <c r="K55" i="8"/>
  <c r="AL74" i="8"/>
  <c r="D74" i="8"/>
  <c r="E74" i="8" s="1"/>
  <c r="W74" i="8"/>
  <c r="V75" i="8"/>
  <c r="AP81" i="8"/>
  <c r="AQ81" i="8"/>
  <c r="AM85" i="8"/>
  <c r="AP86" i="8"/>
  <c r="AS87" i="8"/>
  <c r="W87" i="8"/>
  <c r="AR87" i="8"/>
  <c r="V89" i="8"/>
  <c r="J94" i="8"/>
  <c r="AO94" i="8"/>
  <c r="AN94" i="8"/>
  <c r="K94" i="8"/>
  <c r="AO100" i="8"/>
  <c r="AN100" i="8"/>
  <c r="K100" i="8"/>
  <c r="AL117" i="8"/>
  <c r="AM117" i="8" s="1"/>
  <c r="AM92" i="8"/>
  <c r="AL92" i="8"/>
  <c r="D92" i="8"/>
  <c r="E92" i="8" s="1"/>
  <c r="C49" i="8"/>
  <c r="AL98" i="8"/>
  <c r="C55" i="8"/>
  <c r="V77" i="8"/>
  <c r="AR77" i="8"/>
  <c r="W78" i="8"/>
  <c r="AR78" i="8"/>
  <c r="AS86" i="8"/>
  <c r="AR86" i="8"/>
  <c r="W86" i="8"/>
  <c r="AB90" i="8"/>
  <c r="AU91" i="8"/>
  <c r="AB91" i="8"/>
  <c r="AB92" i="8"/>
  <c r="AB93" i="8"/>
  <c r="AT93" i="8"/>
  <c r="AQ96" i="8"/>
  <c r="AP96" i="8"/>
  <c r="P96" i="8"/>
  <c r="Q96" i="8" s="1"/>
  <c r="D98" i="8"/>
  <c r="E98" i="8" s="1"/>
  <c r="AS116" i="8"/>
  <c r="AR116" i="8"/>
  <c r="AU120" i="8"/>
  <c r="AT120" i="8"/>
  <c r="AB120" i="8"/>
  <c r="AN73" i="8"/>
  <c r="K74" i="8"/>
  <c r="AO74" i="8"/>
  <c r="AL77" i="8"/>
  <c r="D77" i="8"/>
  <c r="E77" i="8" s="1"/>
  <c r="W77" i="8"/>
  <c r="V78" i="8"/>
  <c r="AS78" i="8" s="1"/>
  <c r="V81" i="8"/>
  <c r="W81" i="8" s="1"/>
  <c r="AP84" i="8"/>
  <c r="AQ84" i="8" s="1"/>
  <c r="V86" i="8"/>
  <c r="AM87" i="8"/>
  <c r="AL88" i="8"/>
  <c r="D88" i="8"/>
  <c r="E88" i="8" s="1"/>
  <c r="AU89" i="8"/>
  <c r="AT89" i="8"/>
  <c r="AO91" i="8"/>
  <c r="K91" i="8"/>
  <c r="E120" i="8"/>
  <c r="F120" i="8" s="1"/>
  <c r="F76" i="8"/>
  <c r="AN89" i="8"/>
  <c r="AO89" i="8" s="1"/>
  <c r="M113" i="8"/>
  <c r="L113" i="8"/>
  <c r="AB125" i="8"/>
  <c r="AU125" i="8"/>
  <c r="AT125" i="8"/>
  <c r="AP72" i="8"/>
  <c r="AT76" i="8"/>
  <c r="AB76" i="8"/>
  <c r="AU76" i="8" s="1"/>
  <c r="AU77" i="8"/>
  <c r="AT82" i="8"/>
  <c r="R84" i="8"/>
  <c r="E87" i="8"/>
  <c r="J89" i="8"/>
  <c r="K89" i="8" s="1"/>
  <c r="L92" i="8"/>
  <c r="AN92" i="8"/>
  <c r="AS96" i="8"/>
  <c r="W96" i="8"/>
  <c r="AR97" i="8"/>
  <c r="W97" i="8"/>
  <c r="AS97" i="8"/>
  <c r="AM98" i="8"/>
  <c r="Q144" i="8"/>
  <c r="R144" i="8" s="1"/>
  <c r="R100" i="8"/>
  <c r="AQ73" i="8"/>
  <c r="AM74" i="8"/>
  <c r="AN76" i="8"/>
  <c r="J76" i="8"/>
  <c r="AO77" i="8"/>
  <c r="K77" i="8"/>
  <c r="AB77" i="8"/>
  <c r="X79" i="8"/>
  <c r="AL80" i="8"/>
  <c r="D80" i="8"/>
  <c r="E80" i="8" s="1"/>
  <c r="AM81" i="8"/>
  <c r="AL81" i="8"/>
  <c r="X82" i="8"/>
  <c r="AU82" i="8"/>
  <c r="AR85" i="8"/>
  <c r="AS85" i="8"/>
  <c r="V85" i="8"/>
  <c r="AC131" i="8"/>
  <c r="AD131" i="8" s="1"/>
  <c r="AD87" i="8"/>
  <c r="K88" i="8"/>
  <c r="AO88" i="8"/>
  <c r="AO92" i="8"/>
  <c r="V96" i="8"/>
  <c r="V97" i="8"/>
  <c r="E125" i="8"/>
  <c r="F125" i="8" s="1"/>
  <c r="F81" i="8"/>
  <c r="K82" i="8"/>
  <c r="W83" i="8"/>
  <c r="V83" i="8"/>
  <c r="AS83" i="8"/>
  <c r="J87" i="8"/>
  <c r="AP93" i="8"/>
  <c r="AQ93" i="8"/>
  <c r="P93" i="8"/>
  <c r="Q93" i="8" s="1"/>
  <c r="AB97" i="8"/>
  <c r="AL116" i="8"/>
  <c r="AS143" i="8"/>
  <c r="AR143" i="8"/>
  <c r="V143" i="8"/>
  <c r="C42" i="8"/>
  <c r="AA50" i="8"/>
  <c r="O53" i="8"/>
  <c r="AS72" i="8"/>
  <c r="AR72" i="8"/>
  <c r="AP73" i="8"/>
  <c r="P75" i="8"/>
  <c r="Q75" i="8" s="1"/>
  <c r="AP75" i="8"/>
  <c r="AT79" i="8"/>
  <c r="AB79" i="8"/>
  <c r="AU80" i="8"/>
  <c r="AB80" i="8"/>
  <c r="AC124" i="8" s="1"/>
  <c r="AD124" i="8" s="1"/>
  <c r="J82" i="8"/>
  <c r="AB82" i="8"/>
  <c r="AB85" i="8"/>
  <c r="AC129" i="8" s="1"/>
  <c r="AD129" i="8" s="1"/>
  <c r="K87" i="8"/>
  <c r="AM88" i="8"/>
  <c r="P90" i="8"/>
  <c r="Q90" i="8" s="1"/>
  <c r="AQ90" i="8"/>
  <c r="Q135" i="8"/>
  <c r="R135" i="8" s="1"/>
  <c r="R91" i="8"/>
  <c r="AU100" i="8"/>
  <c r="AT100" i="8"/>
  <c r="AL123" i="8"/>
  <c r="D123" i="8"/>
  <c r="X84" i="8"/>
  <c r="W128" i="8"/>
  <c r="X128" i="8" s="1"/>
  <c r="AR84" i="8"/>
  <c r="AO98" i="8"/>
  <c r="P99" i="8"/>
  <c r="Q99" i="8" s="1"/>
  <c r="AQ126" i="8"/>
  <c r="AP126" i="8"/>
  <c r="AU124" i="8"/>
  <c r="AB124" i="8"/>
  <c r="J128" i="8"/>
  <c r="AO128" i="8"/>
  <c r="AN128" i="8"/>
  <c r="AM129" i="8"/>
  <c r="AL129" i="8"/>
  <c r="V99" i="8"/>
  <c r="AQ99" i="8"/>
  <c r="D129" i="8"/>
  <c r="R114" i="8"/>
  <c r="AM135" i="8"/>
  <c r="AL135" i="8"/>
  <c r="D135" i="8"/>
  <c r="AL82" i="8"/>
  <c r="AU88" i="8"/>
  <c r="AT88" i="8"/>
  <c r="AB88" i="8"/>
  <c r="K97" i="8"/>
  <c r="J97" i="8"/>
  <c r="K142" i="8"/>
  <c r="L142" i="8" s="1"/>
  <c r="L98" i="8"/>
  <c r="AR100" i="8"/>
  <c r="AD113" i="8"/>
  <c r="AT124" i="8"/>
  <c r="K85" i="8"/>
  <c r="J85" i="8"/>
  <c r="AN85" i="8" s="1"/>
  <c r="AO85" i="8" s="1"/>
  <c r="AN97" i="8"/>
  <c r="AR120" i="8"/>
  <c r="V120" i="8"/>
  <c r="AS120" i="8"/>
  <c r="AM122" i="8"/>
  <c r="AL122" i="8"/>
  <c r="D122" i="8"/>
  <c r="AU123" i="8"/>
  <c r="AT123" i="8"/>
  <c r="AB123" i="8"/>
  <c r="D127" i="8"/>
  <c r="AL127" i="8" s="1"/>
  <c r="AU136" i="8"/>
  <c r="J121" i="8"/>
  <c r="AO121" i="8" s="1"/>
  <c r="AO122" i="8"/>
  <c r="AS126" i="8"/>
  <c r="AR126" i="8"/>
  <c r="V126" i="8"/>
  <c r="AO132" i="8"/>
  <c r="AB136" i="8"/>
  <c r="AQ137" i="8"/>
  <c r="AP137" i="8"/>
  <c r="P137" i="8"/>
  <c r="D141" i="8"/>
  <c r="AL141" i="8"/>
  <c r="S115" i="8"/>
  <c r="AR118" i="8"/>
  <c r="AN120" i="8"/>
  <c r="J122" i="8"/>
  <c r="AQ125" i="8"/>
  <c r="AP125" i="8"/>
  <c r="P125" i="8"/>
  <c r="AR131" i="8"/>
  <c r="AM141" i="8"/>
  <c r="AN117" i="8"/>
  <c r="AS118" i="8"/>
  <c r="AO120" i="8"/>
  <c r="AO134" i="8"/>
  <c r="AN134" i="8"/>
  <c r="AL119" i="8"/>
  <c r="D119" i="8"/>
  <c r="P120" i="8"/>
  <c r="AQ120" i="8"/>
  <c r="AP120" i="8"/>
  <c r="P121" i="8"/>
  <c r="AN122" i="8"/>
  <c r="AQ127" i="8"/>
  <c r="AP127" i="8"/>
  <c r="AM128" i="8"/>
  <c r="AU131" i="8"/>
  <c r="AT131" i="8"/>
  <c r="AB131" i="8"/>
  <c r="J134" i="8"/>
  <c r="AB137" i="8"/>
  <c r="AQ138" i="8"/>
  <c r="AP138" i="8"/>
  <c r="X115" i="8"/>
  <c r="AM139" i="8"/>
  <c r="AL139" i="8"/>
  <c r="D139" i="8"/>
  <c r="AS142" i="8"/>
  <c r="AR142" i="8"/>
  <c r="V142" i="8"/>
  <c r="AO118" i="8"/>
  <c r="AU118" i="8"/>
  <c r="AT118" i="8"/>
  <c r="AB118" i="8"/>
  <c r="AT119" i="8"/>
  <c r="V122" i="8"/>
  <c r="AS122" i="8" s="1"/>
  <c r="AR122" i="8"/>
  <c r="AS127" i="8"/>
  <c r="AR127" i="8"/>
  <c r="AS130" i="8"/>
  <c r="V130" i="8"/>
  <c r="V132" i="8"/>
  <c r="AN133" i="8"/>
  <c r="AO133" i="8" s="1"/>
  <c r="AU135" i="8"/>
  <c r="AT135" i="8"/>
  <c r="AB135" i="8"/>
  <c r="AQ139" i="8"/>
  <c r="AP139" i="8"/>
  <c r="AM140" i="8"/>
  <c r="J144" i="8"/>
  <c r="AM124" i="8"/>
  <c r="P133" i="8"/>
  <c r="AP133" i="8" s="1"/>
  <c r="AS144" i="8"/>
  <c r="AR144" i="8"/>
  <c r="AN129" i="8"/>
  <c r="AO129" i="8" s="1"/>
  <c r="AO130" i="8"/>
  <c r="AQ132" i="8"/>
  <c r="AS134" i="8"/>
  <c r="AN141" i="8"/>
  <c r="AO142" i="8"/>
  <c r="AP143" i="8"/>
  <c r="AQ144" i="8"/>
  <c r="AN140" i="8"/>
  <c r="AO141" i="8"/>
  <c r="AO140" i="8"/>
  <c r="AU132" i="8"/>
  <c r="AM136" i="8"/>
  <c r="V138" i="8"/>
  <c r="J140" i="8"/>
  <c r="AB143" i="8"/>
  <c r="AT143" i="8"/>
  <c r="AU144" i="8"/>
  <c r="AN124" i="8"/>
  <c r="V125" i="8"/>
  <c r="AR125" i="8" s="1"/>
  <c r="AS125" i="8" s="1"/>
  <c r="J127" i="8"/>
  <c r="AR128" i="8"/>
  <c r="AB130" i="8"/>
  <c r="AT130" i="8"/>
  <c r="P132" i="8"/>
  <c r="D134" i="8"/>
  <c r="AL134" i="8"/>
  <c r="AN136" i="8"/>
  <c r="V137" i="8"/>
  <c r="AR137" i="8" s="1"/>
  <c r="J139" i="8"/>
  <c r="AR140" i="8"/>
  <c r="AB142" i="8"/>
  <c r="AT142" i="8"/>
  <c r="AU143" i="8"/>
  <c r="P144" i="8"/>
  <c r="AO124" i="8"/>
  <c r="AU130" i="8"/>
  <c r="AM134" i="8"/>
  <c r="AO136" i="8"/>
  <c r="AR139" i="8"/>
  <c r="AB141" i="8"/>
  <c r="AT141" i="8" s="1"/>
  <c r="AU142" i="8"/>
  <c r="AR138" i="8"/>
  <c r="AB127" i="8"/>
  <c r="D131" i="8"/>
  <c r="AL131" i="8" s="1"/>
  <c r="AB139" i="8"/>
  <c r="D143" i="8"/>
  <c r="J23" i="15"/>
  <c r="AU17" i="15" s="1"/>
  <c r="J18" i="15"/>
  <c r="J16" i="15"/>
  <c r="J19" i="15"/>
  <c r="J17" i="15"/>
  <c r="D59" i="15"/>
  <c r="G59" i="15" s="1"/>
  <c r="J51" i="15" s="1"/>
  <c r="J49" i="15"/>
  <c r="J48" i="15"/>
  <c r="AT19" i="15" s="1"/>
  <c r="J35" i="15"/>
  <c r="AC28" i="15"/>
  <c r="AC21" i="17"/>
  <c r="AC201" i="17"/>
  <c r="AB184" i="17"/>
  <c r="AC193" i="17"/>
  <c r="AC186" i="17"/>
  <c r="AA21" i="17"/>
  <c r="AC141" i="17"/>
  <c r="AA141" i="17"/>
  <c r="AA207" i="17"/>
  <c r="AB207" i="17"/>
  <c r="AA73" i="17"/>
  <c r="AA177" i="17"/>
  <c r="AC135" i="17"/>
  <c r="AB170" i="17"/>
  <c r="AB29" i="17"/>
  <c r="AA15" i="17"/>
  <c r="Z23" i="17"/>
  <c r="AA113" i="17"/>
  <c r="Z170" i="17"/>
  <c r="AC117" i="17"/>
  <c r="Z21" i="17"/>
  <c r="AA131" i="17"/>
  <c r="AB109" i="17"/>
  <c r="AB117" i="17"/>
  <c r="AB91" i="17"/>
  <c r="AA117" i="17"/>
  <c r="AB133" i="17"/>
  <c r="AB24" i="17"/>
  <c r="AA36" i="17"/>
  <c r="AA201" i="17"/>
  <c r="AB125" i="17"/>
  <c r="AC125" i="17"/>
  <c r="AA125" i="17"/>
  <c r="Z125" i="17"/>
  <c r="AC169" i="17"/>
  <c r="AB169" i="17"/>
  <c r="AC195" i="17"/>
  <c r="AA195" i="17"/>
  <c r="Z195" i="17"/>
  <c r="AB195" i="17"/>
  <c r="AC159" i="17"/>
  <c r="AB159" i="17"/>
  <c r="AA159" i="17"/>
  <c r="Z159" i="17"/>
  <c r="AC202" i="17"/>
  <c r="AB202" i="17"/>
  <c r="Z55" i="17"/>
  <c r="AA55" i="17"/>
  <c r="AC178" i="17"/>
  <c r="AB178" i="17"/>
  <c r="AA178" i="17"/>
  <c r="AC213" i="17"/>
  <c r="AA213" i="17"/>
  <c r="AC111" i="17"/>
  <c r="AB111" i="17"/>
  <c r="AA111" i="17"/>
  <c r="Z111" i="17"/>
  <c r="AC190" i="17"/>
  <c r="Z190" i="17"/>
  <c r="AB137" i="17"/>
  <c r="AC137" i="17"/>
  <c r="AA137" i="17"/>
  <c r="Z137" i="17"/>
  <c r="AB153" i="17"/>
  <c r="AC153" i="17"/>
  <c r="AA153" i="17"/>
  <c r="Z153" i="17"/>
  <c r="Z87" i="17"/>
  <c r="AB87" i="17"/>
  <c r="AC87" i="17"/>
  <c r="AA87" i="17"/>
  <c r="Z121" i="17"/>
  <c r="AC121" i="17"/>
  <c r="AB121" i="17"/>
  <c r="AA121" i="17"/>
  <c r="AB183" i="17"/>
  <c r="AA183" i="17"/>
  <c r="Z183" i="17"/>
  <c r="AC183" i="17"/>
  <c r="AC181" i="17"/>
  <c r="AB181" i="17"/>
  <c r="AB77" i="17"/>
  <c r="AA77" i="17"/>
  <c r="AC77" i="17"/>
  <c r="Z77" i="17"/>
  <c r="AB95" i="17"/>
  <c r="AC95" i="17"/>
  <c r="AA95" i="17"/>
  <c r="Z95" i="17"/>
  <c r="AB119" i="17"/>
  <c r="AC119" i="17"/>
  <c r="AA119" i="17"/>
  <c r="Z119" i="17"/>
  <c r="AA129" i="17"/>
  <c r="Z129" i="17"/>
  <c r="AC129" i="17"/>
  <c r="AB129" i="17"/>
  <c r="Z61" i="17"/>
  <c r="AA61" i="17"/>
  <c r="Z115" i="17"/>
  <c r="AB115" i="17"/>
  <c r="AC115" i="17"/>
  <c r="AA115" i="17"/>
  <c r="Z67" i="17"/>
  <c r="AA67" i="17"/>
  <c r="AC43" i="17"/>
  <c r="AB43" i="17"/>
  <c r="AA43" i="17"/>
  <c r="AB157" i="17"/>
  <c r="AC157" i="17"/>
  <c r="Z103" i="17"/>
  <c r="AC103" i="17"/>
  <c r="AB103" i="17"/>
  <c r="Z145" i="17"/>
  <c r="AC145" i="17"/>
  <c r="AB149" i="17"/>
  <c r="AC149" i="17"/>
  <c r="AA149" i="17"/>
  <c r="AA24" i="17"/>
  <c r="Z36" i="17"/>
  <c r="AC79" i="17"/>
  <c r="AA91" i="17"/>
  <c r="AA103" i="17"/>
  <c r="Z113" i="17"/>
  <c r="Z141" i="17"/>
  <c r="AA145" i="17"/>
  <c r="Z149" i="17"/>
  <c r="AB123" i="17"/>
  <c r="AA123" i="17"/>
  <c r="Z123" i="17"/>
  <c r="AA171" i="17"/>
  <c r="Z171" i="17"/>
  <c r="AC91" i="17"/>
  <c r="AA109" i="17"/>
  <c r="AC113" i="17"/>
  <c r="AC123" i="17"/>
  <c r="AA133" i="17"/>
  <c r="AB141" i="17"/>
  <c r="AB171" i="17"/>
  <c r="Z177" i="17"/>
  <c r="Z207" i="17"/>
  <c r="AC99" i="17"/>
  <c r="Z99" i="17"/>
  <c r="AC53" i="17"/>
  <c r="AA81" i="17"/>
  <c r="AB99" i="17"/>
  <c r="AA105" i="17"/>
  <c r="Z147" i="17"/>
  <c r="AB151" i="17"/>
  <c r="Z194" i="17"/>
  <c r="AA99" i="17"/>
  <c r="AA22" i="17"/>
  <c r="AC22" i="17"/>
  <c r="AB22" i="17"/>
  <c r="AB81" i="17"/>
  <c r="AB105" i="17"/>
  <c r="AA139" i="17"/>
  <c r="Z143" i="17"/>
  <c r="AA147" i="17"/>
  <c r="AC151" i="17"/>
  <c r="AA189" i="17"/>
  <c r="Z105" i="17"/>
  <c r="AC133" i="17"/>
  <c r="AA151" i="17"/>
  <c r="AC177" i="17"/>
  <c r="AC207" i="17"/>
  <c r="AB19" i="17"/>
  <c r="AB34" i="17"/>
  <c r="AA135" i="17"/>
  <c r="AB139" i="17"/>
  <c r="AA143" i="17"/>
  <c r="AB147" i="17"/>
  <c r="Z174" i="17"/>
  <c r="Z209" i="17"/>
  <c r="Z81" i="17"/>
  <c r="AC34" i="17"/>
  <c r="AA41" i="17"/>
  <c r="AB131" i="17"/>
  <c r="Z131" i="17"/>
  <c r="AB135" i="17"/>
  <c r="AC139" i="17"/>
  <c r="AC143" i="17"/>
  <c r="Z152" i="17"/>
  <c r="Z200" i="17"/>
  <c r="AC200" i="17"/>
  <c r="AB107" i="17"/>
  <c r="AC107" i="17"/>
  <c r="AA107" i="17"/>
  <c r="AC109" i="17"/>
  <c r="AA29" i="17"/>
  <c r="AA49" i="17"/>
  <c r="Z83" i="17"/>
  <c r="Z107" i="17"/>
  <c r="Z127" i="17"/>
  <c r="AB127" i="17"/>
  <c r="AA127" i="17"/>
  <c r="Z176" i="17"/>
  <c r="AC176" i="17"/>
  <c r="AB176" i="17"/>
  <c r="AA176" i="17"/>
  <c r="AB200" i="17"/>
  <c r="AB16" i="17"/>
  <c r="AC16" i="17"/>
  <c r="AC18" i="17"/>
  <c r="AB18" i="17"/>
  <c r="AA18" i="17"/>
  <c r="Z18" i="17"/>
  <c r="AC40" i="17"/>
  <c r="AB40" i="17"/>
  <c r="AA40" i="17"/>
  <c r="Z40" i="17"/>
  <c r="AA96" i="17"/>
  <c r="AC96" i="17"/>
  <c r="AB96" i="17"/>
  <c r="Z96" i="17"/>
  <c r="AC44" i="17"/>
  <c r="AB44" i="17"/>
  <c r="AA44" i="17"/>
  <c r="Z44" i="17"/>
  <c r="AC45" i="17"/>
  <c r="AB45" i="17"/>
  <c r="AA45" i="17"/>
  <c r="Z45" i="17"/>
  <c r="AC23" i="17"/>
  <c r="AB23" i="17"/>
  <c r="AC28" i="17"/>
  <c r="AB28" i="17"/>
  <c r="AA28" i="17"/>
  <c r="AC63" i="17"/>
  <c r="AB63" i="17"/>
  <c r="AA63" i="17"/>
  <c r="Z63" i="17"/>
  <c r="AB173" i="17"/>
  <c r="AC173" i="17"/>
  <c r="AA173" i="17"/>
  <c r="Z173" i="17"/>
  <c r="AC35" i="17"/>
  <c r="AB35" i="17"/>
  <c r="AA35" i="17"/>
  <c r="Z35" i="17"/>
  <c r="AB59" i="17"/>
  <c r="Z59" i="17"/>
  <c r="AA59" i="17"/>
  <c r="AC160" i="17"/>
  <c r="AA160" i="17"/>
  <c r="Z160" i="17"/>
  <c r="AC59" i="17"/>
  <c r="AC92" i="17"/>
  <c r="AB92" i="17"/>
  <c r="AA92" i="17"/>
  <c r="Z92" i="17"/>
  <c r="AC130" i="17"/>
  <c r="AB130" i="17"/>
  <c r="AA130" i="17"/>
  <c r="Z130" i="17"/>
  <c r="AC134" i="17"/>
  <c r="AB134" i="17"/>
  <c r="AA134" i="17"/>
  <c r="Z134" i="17"/>
  <c r="AB160" i="17"/>
  <c r="AC14" i="17"/>
  <c r="AB14" i="17"/>
  <c r="AA14" i="17"/>
  <c r="AC32" i="17"/>
  <c r="AB32" i="17"/>
  <c r="AA32" i="17"/>
  <c r="Z32" i="17"/>
  <c r="AA78" i="17"/>
  <c r="AC78" i="17"/>
  <c r="AB78" i="17"/>
  <c r="Z78" i="17"/>
  <c r="AC33" i="17"/>
  <c r="AB33" i="17"/>
  <c r="AA33" i="17"/>
  <c r="Z33" i="17"/>
  <c r="Z15" i="17"/>
  <c r="AB15" i="17"/>
  <c r="AC17" i="17"/>
  <c r="AB17" i="17"/>
  <c r="Z17" i="17"/>
  <c r="AB65" i="17"/>
  <c r="Z65" i="17"/>
  <c r="AC69" i="17"/>
  <c r="AB69" i="17"/>
  <c r="AA69" i="17"/>
  <c r="Z69" i="17"/>
  <c r="AC142" i="17"/>
  <c r="AB142" i="17"/>
  <c r="AA142" i="17"/>
  <c r="Z142" i="17"/>
  <c r="AC146" i="17"/>
  <c r="AB146" i="17"/>
  <c r="AA146" i="17"/>
  <c r="Z146" i="17"/>
  <c r="AA65" i="17"/>
  <c r="AC88" i="17"/>
  <c r="AB88" i="17"/>
  <c r="AA88" i="17"/>
  <c r="Z88" i="17"/>
  <c r="AC104" i="17"/>
  <c r="AB104" i="17"/>
  <c r="AA104" i="17"/>
  <c r="Z104" i="17"/>
  <c r="AA108" i="17"/>
  <c r="AC108" i="17"/>
  <c r="AB108" i="17"/>
  <c r="Z108" i="17"/>
  <c r="AC112" i="17"/>
  <c r="AB112" i="17"/>
  <c r="AA112" i="17"/>
  <c r="Z112" i="17"/>
  <c r="AC116" i="17"/>
  <c r="AB116" i="17"/>
  <c r="AA116" i="17"/>
  <c r="Z116" i="17"/>
  <c r="AA150" i="17"/>
  <c r="AC150" i="17"/>
  <c r="AB150" i="17"/>
  <c r="Z150" i="17"/>
  <c r="AC37" i="17"/>
  <c r="AB37" i="17"/>
  <c r="AA37" i="17"/>
  <c r="AC42" i="17"/>
  <c r="AB42" i="17"/>
  <c r="AC65" i="17"/>
  <c r="AA120" i="17"/>
  <c r="AC120" i="17"/>
  <c r="AB120" i="17"/>
  <c r="Z120" i="17"/>
  <c r="AC154" i="17"/>
  <c r="AB154" i="17"/>
  <c r="AA154" i="17"/>
  <c r="Z154" i="17"/>
  <c r="AC192" i="17"/>
  <c r="AA192" i="17"/>
  <c r="AB192" i="17"/>
  <c r="Z192" i="17"/>
  <c r="AC25" i="17"/>
  <c r="AB25" i="17"/>
  <c r="AA25" i="17"/>
  <c r="Z37" i="17"/>
  <c r="Z42" i="17"/>
  <c r="AB47" i="17"/>
  <c r="Z47" i="17"/>
  <c r="AC51" i="17"/>
  <c r="AB51" i="17"/>
  <c r="AA51" i="17"/>
  <c r="Z51" i="17"/>
  <c r="AB71" i="17"/>
  <c r="Z71" i="17"/>
  <c r="AC75" i="17"/>
  <c r="AB75" i="17"/>
  <c r="AA75" i="17"/>
  <c r="Z75" i="17"/>
  <c r="AB187" i="17"/>
  <c r="Z187" i="17"/>
  <c r="AA187" i="17"/>
  <c r="AC187" i="17"/>
  <c r="AC30" i="17"/>
  <c r="AB30" i="17"/>
  <c r="AC38" i="17"/>
  <c r="AB38" i="17"/>
  <c r="AA38" i="17"/>
  <c r="Z38" i="17"/>
  <c r="AA42" i="17"/>
  <c r="AA47" i="17"/>
  <c r="AC100" i="17"/>
  <c r="AB100" i="17"/>
  <c r="AA100" i="17"/>
  <c r="Z100" i="17"/>
  <c r="AC20" i="17"/>
  <c r="AB20" i="17"/>
  <c r="AA20" i="17"/>
  <c r="Z20" i="17"/>
  <c r="Z30" i="17"/>
  <c r="AC47" i="17"/>
  <c r="AC71" i="17"/>
  <c r="Z85" i="17"/>
  <c r="AC85" i="17"/>
  <c r="AB85" i="17"/>
  <c r="AC26" i="17"/>
  <c r="AB26" i="17"/>
  <c r="AA26" i="17"/>
  <c r="Z26" i="17"/>
  <c r="AA30" i="17"/>
  <c r="AB53" i="17"/>
  <c r="Z53" i="17"/>
  <c r="AC57" i="17"/>
  <c r="AB57" i="17"/>
  <c r="AA57" i="17"/>
  <c r="Z57" i="17"/>
  <c r="AA85" i="17"/>
  <c r="AC172" i="17"/>
  <c r="AA172" i="17"/>
  <c r="AB172" i="17"/>
  <c r="Z172" i="17"/>
  <c r="AA180" i="17"/>
  <c r="AC180" i="17"/>
  <c r="AB180" i="17"/>
  <c r="Z180" i="17"/>
  <c r="AA19" i="17"/>
  <c r="Z19" i="17"/>
  <c r="AC50" i="17"/>
  <c r="AB50" i="17"/>
  <c r="AA50" i="17"/>
  <c r="Z50" i="17"/>
  <c r="AC56" i="17"/>
  <c r="AB56" i="17"/>
  <c r="AA56" i="17"/>
  <c r="Z56" i="17"/>
  <c r="AC62" i="17"/>
  <c r="AB62" i="17"/>
  <c r="AA62" i="17"/>
  <c r="Z62" i="17"/>
  <c r="AC68" i="17"/>
  <c r="AB68" i="17"/>
  <c r="AA68" i="17"/>
  <c r="Z68" i="17"/>
  <c r="AC74" i="17"/>
  <c r="AB74" i="17"/>
  <c r="AA74" i="17"/>
  <c r="Z74" i="17"/>
  <c r="AA84" i="17"/>
  <c r="AC84" i="17"/>
  <c r="AB84" i="17"/>
  <c r="Z84" i="17"/>
  <c r="AA138" i="17"/>
  <c r="AC138" i="17"/>
  <c r="AB138" i="17"/>
  <c r="Z138" i="17"/>
  <c r="AC179" i="17"/>
  <c r="AB179" i="17"/>
  <c r="Z179" i="17"/>
  <c r="AA179" i="17"/>
  <c r="AB165" i="17"/>
  <c r="AC165" i="17"/>
  <c r="Z165" i="17"/>
  <c r="AA48" i="17"/>
  <c r="AC48" i="17"/>
  <c r="AB48" i="17"/>
  <c r="Z48" i="17"/>
  <c r="AA54" i="17"/>
  <c r="AC54" i="17"/>
  <c r="AB54" i="17"/>
  <c r="Z54" i="17"/>
  <c r="AA60" i="17"/>
  <c r="AC60" i="17"/>
  <c r="AB60" i="17"/>
  <c r="Z60" i="17"/>
  <c r="AA66" i="17"/>
  <c r="AC66" i="17"/>
  <c r="AB66" i="17"/>
  <c r="Z66" i="17"/>
  <c r="AA72" i="17"/>
  <c r="AC72" i="17"/>
  <c r="AB72" i="17"/>
  <c r="Z72" i="17"/>
  <c r="AC124" i="17"/>
  <c r="AB124" i="17"/>
  <c r="AA124" i="17"/>
  <c r="Z124" i="17"/>
  <c r="AC128" i="17"/>
  <c r="AB128" i="17"/>
  <c r="AA128" i="17"/>
  <c r="Z128" i="17"/>
  <c r="AC158" i="17"/>
  <c r="AB158" i="17"/>
  <c r="Z158" i="17"/>
  <c r="Z31" i="17"/>
  <c r="AC82" i="17"/>
  <c r="AB82" i="17"/>
  <c r="AA82" i="17"/>
  <c r="Z82" i="17"/>
  <c r="Z89" i="17"/>
  <c r="Z93" i="17"/>
  <c r="AA97" i="17"/>
  <c r="Z101" i="17"/>
  <c r="AA132" i="17"/>
  <c r="AC132" i="17"/>
  <c r="AB132" i="17"/>
  <c r="Z132" i="17"/>
  <c r="AA158" i="17"/>
  <c r="AB161" i="17"/>
  <c r="AC161" i="17"/>
  <c r="AA161" i="17"/>
  <c r="Z161" i="17"/>
  <c r="AA16" i="17"/>
  <c r="Z24" i="17"/>
  <c r="AA31" i="17"/>
  <c r="Z43" i="17"/>
  <c r="AA79" i="17"/>
  <c r="AA89" i="17"/>
  <c r="AA93" i="17"/>
  <c r="AB97" i="17"/>
  <c r="AA101" i="17"/>
  <c r="AC136" i="17"/>
  <c r="AB136" i="17"/>
  <c r="AA136" i="17"/>
  <c r="Z136" i="17"/>
  <c r="AC140" i="17"/>
  <c r="AB140" i="17"/>
  <c r="AA140" i="17"/>
  <c r="Z140" i="17"/>
  <c r="AB31" i="17"/>
  <c r="AB79" i="17"/>
  <c r="AC86" i="17"/>
  <c r="AB86" i="17"/>
  <c r="AA86" i="17"/>
  <c r="Z86" i="17"/>
  <c r="AC89" i="17"/>
  <c r="AB93" i="17"/>
  <c r="AC97" i="17"/>
  <c r="AC101" i="17"/>
  <c r="AA144" i="17"/>
  <c r="AC144" i="17"/>
  <c r="AB144" i="17"/>
  <c r="Z144" i="17"/>
  <c r="Z175" i="17"/>
  <c r="AC175" i="17"/>
  <c r="AB175" i="17"/>
  <c r="AB185" i="17"/>
  <c r="AC185" i="17"/>
  <c r="AA185" i="17"/>
  <c r="Z185" i="17"/>
  <c r="AB210" i="17"/>
  <c r="AA210" i="17"/>
  <c r="Z210" i="17"/>
  <c r="AC46" i="17"/>
  <c r="AB46" i="17"/>
  <c r="AA46" i="17"/>
  <c r="Z46" i="17"/>
  <c r="AC52" i="17"/>
  <c r="AB52" i="17"/>
  <c r="AA52" i="17"/>
  <c r="Z52" i="17"/>
  <c r="AC58" i="17"/>
  <c r="AB58" i="17"/>
  <c r="AA58" i="17"/>
  <c r="Z58" i="17"/>
  <c r="AC64" i="17"/>
  <c r="AB64" i="17"/>
  <c r="AA64" i="17"/>
  <c r="Z64" i="17"/>
  <c r="AC70" i="17"/>
  <c r="AB70" i="17"/>
  <c r="AA70" i="17"/>
  <c r="Z70" i="17"/>
  <c r="AC76" i="17"/>
  <c r="AB76" i="17"/>
  <c r="AA76" i="17"/>
  <c r="Z76" i="17"/>
  <c r="AA90" i="17"/>
  <c r="AC90" i="17"/>
  <c r="AB90" i="17"/>
  <c r="Z90" i="17"/>
  <c r="AC94" i="17"/>
  <c r="AB94" i="17"/>
  <c r="AA94" i="17"/>
  <c r="Z94" i="17"/>
  <c r="AC98" i="17"/>
  <c r="AB98" i="17"/>
  <c r="AA98" i="17"/>
  <c r="Z98" i="17"/>
  <c r="AA102" i="17"/>
  <c r="AC102" i="17"/>
  <c r="AB102" i="17"/>
  <c r="Z102" i="17"/>
  <c r="AC106" i="17"/>
  <c r="AB106" i="17"/>
  <c r="AA106" i="17"/>
  <c r="Z106" i="17"/>
  <c r="AC110" i="17"/>
  <c r="AB110" i="17"/>
  <c r="AA110" i="17"/>
  <c r="Z110" i="17"/>
  <c r="AA114" i="17"/>
  <c r="AC114" i="17"/>
  <c r="AB114" i="17"/>
  <c r="Z114" i="17"/>
  <c r="AC148" i="17"/>
  <c r="AB148" i="17"/>
  <c r="AA148" i="17"/>
  <c r="Z148" i="17"/>
  <c r="AA175" i="17"/>
  <c r="AC182" i="17"/>
  <c r="AB182" i="17"/>
  <c r="Z182" i="17"/>
  <c r="AC197" i="17"/>
  <c r="AB197" i="17"/>
  <c r="Z197" i="17"/>
  <c r="AC210" i="17"/>
  <c r="AB27" i="17"/>
  <c r="AA27" i="17"/>
  <c r="Z27" i="17"/>
  <c r="AC29" i="17"/>
  <c r="AB36" i="17"/>
  <c r="AB41" i="17"/>
  <c r="AB49" i="17"/>
  <c r="AB55" i="17"/>
  <c r="AB61" i="17"/>
  <c r="AB67" i="17"/>
  <c r="AB73" i="17"/>
  <c r="AA83" i="17"/>
  <c r="AC118" i="17"/>
  <c r="AB118" i="17"/>
  <c r="AA118" i="17"/>
  <c r="Z118" i="17"/>
  <c r="AC122" i="17"/>
  <c r="AB122" i="17"/>
  <c r="AA122" i="17"/>
  <c r="Z122" i="17"/>
  <c r="AA168" i="17"/>
  <c r="AC168" i="17"/>
  <c r="AB168" i="17"/>
  <c r="AA182" i="17"/>
  <c r="AA197" i="17"/>
  <c r="AC206" i="17"/>
  <c r="AA206" i="17"/>
  <c r="Z206" i="17"/>
  <c r="AB206" i="17"/>
  <c r="AB211" i="17"/>
  <c r="AA211" i="17"/>
  <c r="Z211" i="17"/>
  <c r="AC211" i="17"/>
  <c r="AC27" i="17"/>
  <c r="AB39" i="17"/>
  <c r="AA39" i="17"/>
  <c r="Z39" i="17"/>
  <c r="AC41" i="17"/>
  <c r="AC49" i="17"/>
  <c r="AC55" i="17"/>
  <c r="AC61" i="17"/>
  <c r="AC67" i="17"/>
  <c r="AC73" i="17"/>
  <c r="AC80" i="17"/>
  <c r="AB80" i="17"/>
  <c r="AA80" i="17"/>
  <c r="Z80" i="17"/>
  <c r="AC83" i="17"/>
  <c r="AA126" i="17"/>
  <c r="AC126" i="17"/>
  <c r="AB126" i="17"/>
  <c r="Z126" i="17"/>
  <c r="AA156" i="17"/>
  <c r="AC156" i="17"/>
  <c r="Z156" i="17"/>
  <c r="Z163" i="17"/>
  <c r="AC163" i="17"/>
  <c r="AA163" i="17"/>
  <c r="Z168" i="17"/>
  <c r="AC184" i="17"/>
  <c r="AA184" i="17"/>
  <c r="AC203" i="17"/>
  <c r="AB203" i="17"/>
  <c r="Z203" i="17"/>
  <c r="AA170" i="17"/>
  <c r="AB198" i="17"/>
  <c r="AA198" i="17"/>
  <c r="AA152" i="17"/>
  <c r="AA190" i="17"/>
  <c r="AC198" i="17"/>
  <c r="AC204" i="17"/>
  <c r="AB204" i="17"/>
  <c r="AA204" i="17"/>
  <c r="AB152" i="17"/>
  <c r="Z166" i="17"/>
  <c r="AA188" i="17"/>
  <c r="AB190" i="17"/>
  <c r="AA193" i="17"/>
  <c r="Z193" i="17"/>
  <c r="Z204" i="17"/>
  <c r="Z22" i="17"/>
  <c r="Z34" i="17"/>
  <c r="AA164" i="17"/>
  <c r="AA166" i="17"/>
  <c r="Z178" i="17"/>
  <c r="AB188" i="17"/>
  <c r="AA157" i="17"/>
  <c r="Z157" i="17"/>
  <c r="AB164" i="17"/>
  <c r="AB166" i="17"/>
  <c r="AC188" i="17"/>
  <c r="AC196" i="17"/>
  <c r="AA196" i="17"/>
  <c r="AB199" i="17"/>
  <c r="AA199" i="17"/>
  <c r="Z199" i="17"/>
  <c r="AC208" i="17"/>
  <c r="AA208" i="17"/>
  <c r="Z212" i="17"/>
  <c r="AB212" i="17"/>
  <c r="AB155" i="17"/>
  <c r="Z155" i="17"/>
  <c r="AB162" i="17"/>
  <c r="AA162" i="17"/>
  <c r="AC164" i="17"/>
  <c r="AA169" i="17"/>
  <c r="Z169" i="17"/>
  <c r="AB186" i="17"/>
  <c r="AA186" i="17"/>
  <c r="AC191" i="17"/>
  <c r="AB191" i="17"/>
  <c r="Z191" i="17"/>
  <c r="Z196" i="17"/>
  <c r="AC199" i="17"/>
  <c r="Z202" i="17"/>
  <c r="AA205" i="17"/>
  <c r="Z205" i="17"/>
  <c r="AC205" i="17"/>
  <c r="Z208" i="17"/>
  <c r="AA212" i="17"/>
  <c r="AA155" i="17"/>
  <c r="Z162" i="17"/>
  <c r="AB174" i="17"/>
  <c r="AA174" i="17"/>
  <c r="AA181" i="17"/>
  <c r="Z181" i="17"/>
  <c r="AC194" i="17"/>
  <c r="AA194" i="17"/>
  <c r="AA202" i="17"/>
  <c r="AB205" i="17"/>
  <c r="AB208" i="17"/>
  <c r="AC212" i="17"/>
  <c r="AC167" i="17"/>
  <c r="AB167" i="17"/>
  <c r="Z167" i="17"/>
  <c r="AB189" i="17"/>
  <c r="Z189" i="17"/>
  <c r="AC209" i="17"/>
  <c r="AB209" i="17"/>
  <c r="Z214" i="17"/>
  <c r="AA214" i="17"/>
  <c r="AB214" i="17"/>
  <c r="Z201" i="17"/>
  <c r="Z213" i="17"/>
  <c r="AB213" i="17"/>
  <c r="AD14" i="17" l="1"/>
  <c r="AC130" i="8"/>
  <c r="AD130" i="8" s="1"/>
  <c r="BH48" i="14"/>
  <c r="AE43" i="8"/>
  <c r="Q40" i="8"/>
  <c r="S40" i="8"/>
  <c r="AE89" i="8"/>
  <c r="AC45" i="8"/>
  <c r="AD45" i="8" s="1"/>
  <c r="AY29" i="14"/>
  <c r="AE45" i="8"/>
  <c r="BG51" i="14"/>
  <c r="BF52" i="14"/>
  <c r="D36" i="8"/>
  <c r="E36" i="8" s="1"/>
  <c r="G79" i="8" s="1"/>
  <c r="AC49" i="8"/>
  <c r="AD49" i="8" s="1"/>
  <c r="AE87" i="8"/>
  <c r="AE56" i="8"/>
  <c r="G50" i="8"/>
  <c r="G47" i="8"/>
  <c r="M53" i="8"/>
  <c r="G39" i="8"/>
  <c r="AB56" i="8"/>
  <c r="AB54" i="8"/>
  <c r="K41" i="8"/>
  <c r="M84" i="8" s="1"/>
  <c r="AE57" i="8"/>
  <c r="D50" i="8"/>
  <c r="AE52" i="8"/>
  <c r="AE31" i="8"/>
  <c r="Y49" i="8"/>
  <c r="D53" i="8"/>
  <c r="AB52" i="8"/>
  <c r="AD79" i="8"/>
  <c r="G53" i="8"/>
  <c r="AB44" i="8"/>
  <c r="AD81" i="8"/>
  <c r="D47" i="8"/>
  <c r="AB40" i="8"/>
  <c r="F93" i="8"/>
  <c r="AB57" i="8"/>
  <c r="AC40" i="8"/>
  <c r="AD40" i="8" s="1"/>
  <c r="AC31" i="8"/>
  <c r="AD31" i="8" s="1"/>
  <c r="J53" i="8"/>
  <c r="J41" i="8"/>
  <c r="AM77" i="8"/>
  <c r="G30" i="8"/>
  <c r="D30" i="8"/>
  <c r="F30" i="8" s="1"/>
  <c r="C28" i="2"/>
  <c r="F73" i="8"/>
  <c r="E117" i="8"/>
  <c r="F117" i="8" s="1"/>
  <c r="F72" i="8"/>
  <c r="E116" i="8"/>
  <c r="F116" i="8" s="1"/>
  <c r="G29" i="8"/>
  <c r="D29" i="8"/>
  <c r="E29" i="8" s="1"/>
  <c r="F29" i="8" s="1"/>
  <c r="AM50" i="4"/>
  <c r="AM51" i="4" s="1"/>
  <c r="AN51" i="4"/>
  <c r="AN52" i="4" s="1"/>
  <c r="AK50" i="4"/>
  <c r="AK51" i="4" s="1"/>
  <c r="AL51" i="4"/>
  <c r="AL52" i="4" s="1"/>
  <c r="AI50" i="4"/>
  <c r="AI51" i="4" s="1"/>
  <c r="AJ51" i="4"/>
  <c r="AJ52" i="4" s="1"/>
  <c r="AG50" i="4"/>
  <c r="AG51" i="4" s="1"/>
  <c r="AH51" i="4"/>
  <c r="AH52" i="4" s="1"/>
  <c r="AE50" i="4"/>
  <c r="AE51" i="4" s="1"/>
  <c r="AF51" i="4"/>
  <c r="AF52" i="4" s="1"/>
  <c r="AC50" i="4"/>
  <c r="AC51" i="4" s="1"/>
  <c r="AD51" i="4"/>
  <c r="AD52" i="4" s="1"/>
  <c r="AA50" i="4"/>
  <c r="AA51" i="4" s="1"/>
  <c r="AB51" i="4"/>
  <c r="Y50" i="4"/>
  <c r="Y51" i="4" s="1"/>
  <c r="Z51" i="4"/>
  <c r="Z52" i="4" s="1"/>
  <c r="W50" i="4"/>
  <c r="W51" i="4" s="1"/>
  <c r="X51" i="4"/>
  <c r="X52" i="4" s="1"/>
  <c r="U50" i="4"/>
  <c r="U51" i="4" s="1"/>
  <c r="V51" i="4"/>
  <c r="V52" i="4" s="1"/>
  <c r="S50" i="4"/>
  <c r="S51" i="4" s="1"/>
  <c r="T51" i="4"/>
  <c r="T52" i="4" s="1"/>
  <c r="Q50" i="4"/>
  <c r="Q51" i="4" s="1"/>
  <c r="R51" i="4"/>
  <c r="O50" i="4"/>
  <c r="O51" i="4" s="1"/>
  <c r="P51" i="4"/>
  <c r="AM47" i="4"/>
  <c r="AK47" i="4"/>
  <c r="AI47" i="4"/>
  <c r="AG47" i="4"/>
  <c r="AE47" i="4"/>
  <c r="AC47" i="4"/>
  <c r="AB52" i="4"/>
  <c r="AA47" i="4"/>
  <c r="Y47" i="4"/>
  <c r="W47" i="4"/>
  <c r="U47" i="4"/>
  <c r="S47" i="4"/>
  <c r="R52" i="4"/>
  <c r="Q47" i="4"/>
  <c r="Q52" i="4" s="1"/>
  <c r="P52" i="4"/>
  <c r="O47" i="4"/>
  <c r="O52" i="4" s="1"/>
  <c r="AM44" i="4"/>
  <c r="AN40" i="4"/>
  <c r="AN44" i="4" s="1"/>
  <c r="AK44" i="4"/>
  <c r="AL40" i="4"/>
  <c r="AL44" i="4" s="1"/>
  <c r="AI44" i="4"/>
  <c r="AJ40" i="4"/>
  <c r="AJ44" i="4" s="1"/>
  <c r="AG44" i="4"/>
  <c r="AH40" i="4"/>
  <c r="AH44" i="4" s="1"/>
  <c r="AE44" i="4"/>
  <c r="AF40" i="4"/>
  <c r="AF44" i="4" s="1"/>
  <c r="AC44" i="4"/>
  <c r="AD40" i="4"/>
  <c r="AD44" i="4" s="1"/>
  <c r="AA44" i="4"/>
  <c r="AB40" i="4"/>
  <c r="AB44" i="4" s="1"/>
  <c r="Y44" i="4"/>
  <c r="Z40" i="4"/>
  <c r="Z44" i="4" s="1"/>
  <c r="W44" i="4"/>
  <c r="X40" i="4"/>
  <c r="X44" i="4" s="1"/>
  <c r="U44" i="4"/>
  <c r="V40" i="4"/>
  <c r="V44" i="4" s="1"/>
  <c r="S44" i="4"/>
  <c r="T40" i="4"/>
  <c r="T44" i="4" s="1"/>
  <c r="Q44" i="4"/>
  <c r="R40" i="4"/>
  <c r="R44" i="4" s="1"/>
  <c r="O44" i="4"/>
  <c r="P40" i="4"/>
  <c r="P44" i="4" s="1"/>
  <c r="K116" i="8"/>
  <c r="L72" i="8"/>
  <c r="K117" i="8"/>
  <c r="L117" i="8" s="1"/>
  <c r="L73" i="8"/>
  <c r="W116" i="8"/>
  <c r="X72" i="8"/>
  <c r="P102" i="8"/>
  <c r="E8" i="8"/>
  <c r="W117" i="8"/>
  <c r="X117" i="8" s="1"/>
  <c r="X73" i="8"/>
  <c r="K30" i="8"/>
  <c r="L30" i="8" s="1"/>
  <c r="J30" i="8"/>
  <c r="M30" i="8"/>
  <c r="W39" i="8"/>
  <c r="Y82" i="8" s="1"/>
  <c r="AE29" i="8"/>
  <c r="AC29" i="8"/>
  <c r="AD29" i="8" s="1"/>
  <c r="AB29" i="8"/>
  <c r="K29" i="8"/>
  <c r="L29" i="8" s="1"/>
  <c r="J29" i="8"/>
  <c r="M29" i="8"/>
  <c r="Y30" i="8"/>
  <c r="V30" i="8"/>
  <c r="W30" i="8"/>
  <c r="X30" i="8" s="1"/>
  <c r="R72" i="8"/>
  <c r="Q116" i="8"/>
  <c r="AD73" i="8"/>
  <c r="AC117" i="8"/>
  <c r="AD117" i="8" s="1"/>
  <c r="W29" i="8"/>
  <c r="X29" i="8" s="1"/>
  <c r="Y29" i="8"/>
  <c r="V29" i="8"/>
  <c r="M27" i="8"/>
  <c r="E4" i="8"/>
  <c r="E9" i="8" s="1"/>
  <c r="D16" i="15" s="1"/>
  <c r="AE30" i="8"/>
  <c r="AB30" i="8"/>
  <c r="AC30" i="8"/>
  <c r="AD30" i="8" s="1"/>
  <c r="R73" i="8"/>
  <c r="Q117" i="8"/>
  <c r="R117" i="8" s="1"/>
  <c r="AB102" i="8"/>
  <c r="P30" i="8"/>
  <c r="S30" i="8"/>
  <c r="Q30" i="8"/>
  <c r="R30" i="8" s="1"/>
  <c r="AD72" i="8"/>
  <c r="AC116" i="8"/>
  <c r="Q29" i="8"/>
  <c r="R29" i="8" s="1"/>
  <c r="S29" i="8"/>
  <c r="P29" i="8"/>
  <c r="J102" i="8"/>
  <c r="L102" i="8" s="1"/>
  <c r="I43" i="2" s="1"/>
  <c r="AM116" i="8"/>
  <c r="AM72" i="8"/>
  <c r="AM73" i="8"/>
  <c r="AO93" i="8"/>
  <c r="AN82" i="8"/>
  <c r="AO82" i="8" s="1"/>
  <c r="AO102" i="8" s="1"/>
  <c r="AO126" i="8"/>
  <c r="AP92" i="8"/>
  <c r="AQ92" i="8" s="1"/>
  <c r="Q46" i="8"/>
  <c r="S89" i="8" s="1"/>
  <c r="AQ133" i="8"/>
  <c r="AP128" i="8"/>
  <c r="AQ128" i="8" s="1"/>
  <c r="BE51" i="14"/>
  <c r="AQ79" i="8"/>
  <c r="W93" i="8"/>
  <c r="W137" i="8" s="1"/>
  <c r="X137" i="8" s="1"/>
  <c r="AS137" i="8"/>
  <c r="Y88" i="8"/>
  <c r="AR132" i="8"/>
  <c r="AS132" i="8" s="1"/>
  <c r="W125" i="8"/>
  <c r="X125" i="8" s="1"/>
  <c r="X81" i="8"/>
  <c r="BE43" i="14"/>
  <c r="AR81" i="8"/>
  <c r="AS81" i="8" s="1"/>
  <c r="AS102" i="8" s="1"/>
  <c r="AT97" i="8"/>
  <c r="AU97" i="8" s="1"/>
  <c r="AU141" i="8"/>
  <c r="AC138" i="8"/>
  <c r="AD138" i="8" s="1"/>
  <c r="AU94" i="8"/>
  <c r="AT90" i="8"/>
  <c r="AU90" i="8" s="1"/>
  <c r="BE45" i="14"/>
  <c r="BE44" i="14"/>
  <c r="AT134" i="8"/>
  <c r="AU134" i="8" s="1"/>
  <c r="AT129" i="8"/>
  <c r="AU129" i="8" s="1"/>
  <c r="AT85" i="8"/>
  <c r="AU85" i="8"/>
  <c r="BE48" i="14"/>
  <c r="AC42" i="8"/>
  <c r="AE85" i="8" s="1"/>
  <c r="AE123" i="8"/>
  <c r="AE42" i="8"/>
  <c r="W48" i="8"/>
  <c r="Y135" i="8" s="1"/>
  <c r="AE36" i="8"/>
  <c r="S90" i="8"/>
  <c r="AE79" i="8"/>
  <c r="F96" i="8"/>
  <c r="AD78" i="8"/>
  <c r="Y48" i="8"/>
  <c r="G93" i="8"/>
  <c r="AB46" i="8"/>
  <c r="AE46" i="8"/>
  <c r="P47" i="8"/>
  <c r="P34" i="8"/>
  <c r="Q35" i="8"/>
  <c r="R35" i="8" s="1"/>
  <c r="G135" i="8"/>
  <c r="V56" i="8"/>
  <c r="F91" i="8"/>
  <c r="S39" i="8"/>
  <c r="S35" i="8"/>
  <c r="F90" i="8"/>
  <c r="S95" i="8"/>
  <c r="P46" i="8"/>
  <c r="Y56" i="8"/>
  <c r="X94" i="8"/>
  <c r="BE50" i="14"/>
  <c r="BH28" i="14"/>
  <c r="BE47" i="14"/>
  <c r="BE46" i="14"/>
  <c r="BH27" i="14"/>
  <c r="BF49" i="14"/>
  <c r="BE42" i="14"/>
  <c r="BF44" i="14"/>
  <c r="BF48" i="14"/>
  <c r="BF51" i="14"/>
  <c r="BF31" i="14"/>
  <c r="AC41" i="8"/>
  <c r="AD41" i="8" s="1"/>
  <c r="BE52" i="14"/>
  <c r="BF45" i="14"/>
  <c r="BE49" i="14"/>
  <c r="BE28" i="14"/>
  <c r="BH44" i="14"/>
  <c r="BH42" i="14"/>
  <c r="BE29" i="14"/>
  <c r="BG30" i="14"/>
  <c r="BG33" i="14"/>
  <c r="BH30" i="14"/>
  <c r="BF27" i="14"/>
  <c r="BH34" i="14"/>
  <c r="BG26" i="14"/>
  <c r="BH33" i="14"/>
  <c r="BH31" i="14"/>
  <c r="BG31" i="14"/>
  <c r="BH32" i="14"/>
  <c r="BF43" i="14"/>
  <c r="BF26" i="14"/>
  <c r="BH29" i="14"/>
  <c r="BF28" i="14"/>
  <c r="BH26" i="14"/>
  <c r="BF34" i="14"/>
  <c r="BE32" i="14"/>
  <c r="BF42" i="14"/>
  <c r="BG47" i="14"/>
  <c r="BG34" i="14"/>
  <c r="BE26" i="14"/>
  <c r="BG49" i="14"/>
  <c r="BG43" i="14"/>
  <c r="BG50" i="14"/>
  <c r="BG52" i="14"/>
  <c r="BG46" i="14"/>
  <c r="BG32" i="14"/>
  <c r="BG48" i="14"/>
  <c r="BE31" i="14"/>
  <c r="BG42" i="14"/>
  <c r="BE33" i="14"/>
  <c r="BG29" i="14"/>
  <c r="BF33" i="14"/>
  <c r="BE27" i="14"/>
  <c r="BH45" i="14"/>
  <c r="BH47" i="14"/>
  <c r="BE30" i="14"/>
  <c r="BF32" i="14"/>
  <c r="BH52" i="14"/>
  <c r="BH43" i="14"/>
  <c r="BH51" i="14"/>
  <c r="BF47" i="14"/>
  <c r="BF29" i="14"/>
  <c r="BG27" i="14"/>
  <c r="BG45" i="14"/>
  <c r="BG44" i="14"/>
  <c r="BF50" i="14"/>
  <c r="BE34" i="14"/>
  <c r="BH49" i="14"/>
  <c r="BG28" i="14"/>
  <c r="BH50" i="14"/>
  <c r="BF30" i="14"/>
  <c r="BF46" i="14"/>
  <c r="BH46" i="14"/>
  <c r="J52" i="8"/>
  <c r="E54" i="8"/>
  <c r="G141" i="8" s="1"/>
  <c r="D38" i="8"/>
  <c r="AB41" i="8"/>
  <c r="AE130" i="8"/>
  <c r="Q31" i="8"/>
  <c r="S74" i="8" s="1"/>
  <c r="S31" i="8"/>
  <c r="F79" i="8"/>
  <c r="E38" i="8"/>
  <c r="F38" i="8" s="1"/>
  <c r="G54" i="8"/>
  <c r="L80" i="8"/>
  <c r="K52" i="8"/>
  <c r="L52" i="8" s="1"/>
  <c r="W144" i="8"/>
  <c r="X144" i="8" s="1"/>
  <c r="AB55" i="8"/>
  <c r="K140" i="8"/>
  <c r="L140" i="8" s="1"/>
  <c r="Q48" i="8"/>
  <c r="R48" i="8" s="1"/>
  <c r="G134" i="8"/>
  <c r="J44" i="8"/>
  <c r="X91" i="8"/>
  <c r="J50" i="8"/>
  <c r="K50" i="8" s="1"/>
  <c r="W51" i="8"/>
  <c r="X51" i="8" s="1"/>
  <c r="J31" i="8"/>
  <c r="AE91" i="8"/>
  <c r="L31" i="8"/>
  <c r="W120" i="8"/>
  <c r="X120" i="8" s="1"/>
  <c r="AE48" i="8"/>
  <c r="L99" i="8"/>
  <c r="M78" i="8"/>
  <c r="AD85" i="8"/>
  <c r="W124" i="8"/>
  <c r="X124" i="8" s="1"/>
  <c r="AE33" i="8"/>
  <c r="AC33" i="8"/>
  <c r="AD33" i="8" s="1"/>
  <c r="X85" i="8"/>
  <c r="AD94" i="8"/>
  <c r="E126" i="8"/>
  <c r="F126" i="8" s="1"/>
  <c r="G52" i="8"/>
  <c r="AC37" i="8"/>
  <c r="S86" i="8"/>
  <c r="F83" i="8"/>
  <c r="E41" i="8"/>
  <c r="F41" i="8" s="1"/>
  <c r="AC55" i="8"/>
  <c r="AE98" i="8" s="1"/>
  <c r="Y41" i="8"/>
  <c r="D44" i="8"/>
  <c r="E44" i="8" s="1"/>
  <c r="G87" i="8" s="1"/>
  <c r="W33" i="8"/>
  <c r="Y76" i="8" s="1"/>
  <c r="V33" i="8"/>
  <c r="G96" i="8"/>
  <c r="V51" i="8"/>
  <c r="Q139" i="8"/>
  <c r="R139" i="8" s="1"/>
  <c r="AD99" i="8"/>
  <c r="S80" i="8"/>
  <c r="F84" i="8"/>
  <c r="P37" i="8"/>
  <c r="AE88" i="8"/>
  <c r="S37" i="8"/>
  <c r="Y57" i="8"/>
  <c r="R83" i="8"/>
  <c r="R95" i="8"/>
  <c r="S75" i="8"/>
  <c r="G90" i="8"/>
  <c r="S77" i="8"/>
  <c r="M35" i="8"/>
  <c r="R85" i="8"/>
  <c r="AC53" i="8"/>
  <c r="AD53" i="8" s="1"/>
  <c r="AE34" i="8"/>
  <c r="K44" i="8"/>
  <c r="L44" i="8" s="1"/>
  <c r="G41" i="8"/>
  <c r="E39" i="8"/>
  <c r="AE37" i="8"/>
  <c r="S36" i="8"/>
  <c r="AE32" i="8"/>
  <c r="S34" i="8"/>
  <c r="J39" i="8"/>
  <c r="K39" i="8" s="1"/>
  <c r="AC34" i="8"/>
  <c r="AD34" i="8" s="1"/>
  <c r="M39" i="8"/>
  <c r="R77" i="8"/>
  <c r="J35" i="8"/>
  <c r="AB48" i="8"/>
  <c r="Y53" i="8"/>
  <c r="AC128" i="8"/>
  <c r="AD128" i="8" s="1"/>
  <c r="Q138" i="8"/>
  <c r="R138" i="8" s="1"/>
  <c r="X89" i="8"/>
  <c r="AD96" i="8"/>
  <c r="S76" i="8"/>
  <c r="AM79" i="8"/>
  <c r="Y85" i="8"/>
  <c r="Q41" i="8"/>
  <c r="S84" i="8" s="1"/>
  <c r="AB53" i="8"/>
  <c r="M50" i="8"/>
  <c r="S41" i="8"/>
  <c r="V34" i="8"/>
  <c r="AE44" i="8"/>
  <c r="E33" i="8"/>
  <c r="G120" i="8" s="1"/>
  <c r="W34" i="8"/>
  <c r="X34" i="8" s="1"/>
  <c r="R92" i="8"/>
  <c r="Y95" i="8"/>
  <c r="R121" i="8"/>
  <c r="S121" i="8"/>
  <c r="M97" i="8"/>
  <c r="S48" i="8"/>
  <c r="F86" i="8"/>
  <c r="AB32" i="8"/>
  <c r="S92" i="8"/>
  <c r="L83" i="8"/>
  <c r="Q36" i="8"/>
  <c r="R36" i="8" s="1"/>
  <c r="Q39" i="8"/>
  <c r="S126" i="8" s="1"/>
  <c r="F99" i="8"/>
  <c r="AB47" i="8"/>
  <c r="AC47" i="8" s="1"/>
  <c r="AE90" i="8" s="1"/>
  <c r="S46" i="8"/>
  <c r="AE75" i="8"/>
  <c r="K42" i="8"/>
  <c r="L42" i="8" s="1"/>
  <c r="M42" i="8"/>
  <c r="Y143" i="8"/>
  <c r="AB36" i="8"/>
  <c r="AB38" i="8"/>
  <c r="AE38" i="8"/>
  <c r="R79" i="8"/>
  <c r="M100" i="8"/>
  <c r="AL83" i="8"/>
  <c r="AM83" i="8" s="1"/>
  <c r="M128" i="8"/>
  <c r="Y97" i="8"/>
  <c r="AD80" i="8"/>
  <c r="W53" i="8"/>
  <c r="X53" i="8" s="1"/>
  <c r="AC38" i="8"/>
  <c r="E52" i="8"/>
  <c r="F52" i="8" s="1"/>
  <c r="F139" i="8"/>
  <c r="S47" i="8"/>
  <c r="L93" i="8"/>
  <c r="X92" i="8"/>
  <c r="Q45" i="8"/>
  <c r="S132" i="8" s="1"/>
  <c r="M90" i="8"/>
  <c r="AE95" i="8"/>
  <c r="K137" i="8"/>
  <c r="L137" i="8" s="1"/>
  <c r="AD75" i="8"/>
  <c r="K33" i="8"/>
  <c r="M76" i="8" s="1"/>
  <c r="L41" i="8"/>
  <c r="K49" i="8"/>
  <c r="M92" i="8" s="1"/>
  <c r="AC119" i="8"/>
  <c r="AD119" i="8" s="1"/>
  <c r="M33" i="8"/>
  <c r="Q118" i="8"/>
  <c r="R118" i="8" s="1"/>
  <c r="X41" i="8"/>
  <c r="M47" i="8"/>
  <c r="L90" i="8"/>
  <c r="Y90" i="8"/>
  <c r="L76" i="8"/>
  <c r="J47" i="8"/>
  <c r="K119" i="8"/>
  <c r="L119" i="8" s="1"/>
  <c r="M49" i="8"/>
  <c r="D32" i="8"/>
  <c r="G119" i="8" s="1"/>
  <c r="G137" i="8"/>
  <c r="AM119" i="8"/>
  <c r="F95" i="8"/>
  <c r="W57" i="8"/>
  <c r="AE51" i="8"/>
  <c r="D56" i="8"/>
  <c r="E56" i="8"/>
  <c r="V41" i="8"/>
  <c r="AB51" i="8"/>
  <c r="AC51" i="8" s="1"/>
  <c r="AM123" i="8"/>
  <c r="K32" i="8"/>
  <c r="J32" i="8"/>
  <c r="D43" i="8"/>
  <c r="E43" i="8"/>
  <c r="G130" i="8" s="1"/>
  <c r="AE100" i="8"/>
  <c r="Q123" i="8"/>
  <c r="V31" i="8"/>
  <c r="Y31" i="8"/>
  <c r="W31" i="8"/>
  <c r="X31" i="8" s="1"/>
  <c r="AE143" i="8"/>
  <c r="G88" i="8"/>
  <c r="M56" i="8"/>
  <c r="K56" i="8"/>
  <c r="M143" i="8" s="1"/>
  <c r="BB46" i="14"/>
  <c r="S38" i="8"/>
  <c r="Q38" i="8"/>
  <c r="R136" i="8"/>
  <c r="S136" i="8"/>
  <c r="X99" i="8"/>
  <c r="G127" i="8"/>
  <c r="M142" i="8"/>
  <c r="K45" i="8"/>
  <c r="L45" i="8" s="1"/>
  <c r="BA42" i="14"/>
  <c r="BA43" i="14"/>
  <c r="BB51" i="14"/>
  <c r="M134" i="8"/>
  <c r="Y80" i="8"/>
  <c r="AC142" i="8"/>
  <c r="AD142" i="8" s="1"/>
  <c r="AD98" i="8"/>
  <c r="M40" i="8"/>
  <c r="S139" i="8"/>
  <c r="G83" i="8"/>
  <c r="BB48" i="14"/>
  <c r="P45" i="8"/>
  <c r="AZ44" i="14"/>
  <c r="AZ28" i="14"/>
  <c r="Y99" i="8"/>
  <c r="X143" i="8"/>
  <c r="D33" i="8"/>
  <c r="AZ49" i="14"/>
  <c r="AZ30" i="14"/>
  <c r="AX44" i="14"/>
  <c r="BB42" i="14"/>
  <c r="AY44" i="14"/>
  <c r="BA31" i="14"/>
  <c r="AV28" i="14"/>
  <c r="AZ29" i="14"/>
  <c r="AW30" i="14"/>
  <c r="BC43" i="14"/>
  <c r="AY46" i="14"/>
  <c r="BC51" i="14"/>
  <c r="AW43" i="14"/>
  <c r="BB43" i="14"/>
  <c r="BC48" i="14"/>
  <c r="AY43" i="14"/>
  <c r="BC46" i="14"/>
  <c r="AY42" i="14"/>
  <c r="AW46" i="14"/>
  <c r="BA45" i="14"/>
  <c r="AW44" i="14"/>
  <c r="AY45" i="14"/>
  <c r="BB45" i="14"/>
  <c r="BC44" i="14"/>
  <c r="AY52" i="14"/>
  <c r="BC50" i="14"/>
  <c r="BC30" i="14"/>
  <c r="BC42" i="14"/>
  <c r="AW42" i="14"/>
  <c r="AY49" i="14"/>
  <c r="BB52" i="14"/>
  <c r="AW47" i="14"/>
  <c r="BA48" i="14"/>
  <c r="AY48" i="14"/>
  <c r="BA30" i="14"/>
  <c r="AZ27" i="14"/>
  <c r="AV47" i="14"/>
  <c r="AY31" i="14"/>
  <c r="BA51" i="14"/>
  <c r="BA52" i="14"/>
  <c r="BC45" i="14"/>
  <c r="BC47" i="14"/>
  <c r="AV29" i="14"/>
  <c r="BA44" i="14"/>
  <c r="AY50" i="14"/>
  <c r="AZ31" i="14"/>
  <c r="BB28" i="14"/>
  <c r="BB27" i="14"/>
  <c r="BB32" i="14"/>
  <c r="AV31" i="14"/>
  <c r="BA32" i="14"/>
  <c r="BA28" i="14"/>
  <c r="AV32" i="14"/>
  <c r="BB30" i="14"/>
  <c r="BC28" i="14"/>
  <c r="BB29" i="14"/>
  <c r="BC31" i="14"/>
  <c r="BC27" i="14"/>
  <c r="BB31" i="14"/>
  <c r="BD26" i="14"/>
  <c r="BD34" i="14"/>
  <c r="AX29" i="14"/>
  <c r="AZ46" i="14"/>
  <c r="AY27" i="14"/>
  <c r="BC33" i="14"/>
  <c r="BC25" i="14"/>
  <c r="AV52" i="14"/>
  <c r="AZ51" i="14"/>
  <c r="BD52" i="14"/>
  <c r="AX43" i="14"/>
  <c r="BD45" i="14"/>
  <c r="AW29" i="14"/>
  <c r="AV27" i="14"/>
  <c r="AW45" i="14"/>
  <c r="BB47" i="14"/>
  <c r="BD29" i="14"/>
  <c r="BC29" i="14"/>
  <c r="AY47" i="14"/>
  <c r="BA49" i="14"/>
  <c r="AZ50" i="14"/>
  <c r="AW49" i="14"/>
  <c r="BA50" i="14"/>
  <c r="AV25" i="14"/>
  <c r="AV33" i="14"/>
  <c r="AX26" i="14"/>
  <c r="AX34" i="14"/>
  <c r="AY28" i="14"/>
  <c r="BD47" i="14"/>
  <c r="BD48" i="14"/>
  <c r="AY30" i="14"/>
  <c r="BB25" i="14"/>
  <c r="BB33" i="14"/>
  <c r="AV46" i="14"/>
  <c r="AZ32" i="14"/>
  <c r="AY51" i="14"/>
  <c r="BD49" i="14"/>
  <c r="AZ26" i="14"/>
  <c r="AZ34" i="14"/>
  <c r="AW48" i="14"/>
  <c r="AV30" i="14"/>
  <c r="BA46" i="14"/>
  <c r="AZ42" i="14"/>
  <c r="AV45" i="14"/>
  <c r="BA47" i="14"/>
  <c r="BD28" i="14"/>
  <c r="AZ33" i="14"/>
  <c r="AZ25" i="14"/>
  <c r="BB44" i="14"/>
  <c r="AW31" i="14"/>
  <c r="AX31" i="14"/>
  <c r="AZ52" i="14"/>
  <c r="AX52" i="14"/>
  <c r="AX48" i="14"/>
  <c r="AX45" i="14"/>
  <c r="AX46" i="14"/>
  <c r="AW51" i="14"/>
  <c r="AX50" i="14"/>
  <c r="BC32" i="14"/>
  <c r="BD46" i="14"/>
  <c r="AZ45" i="14"/>
  <c r="AV48" i="14"/>
  <c r="BD43" i="14"/>
  <c r="BA33" i="14"/>
  <c r="BA25" i="14"/>
  <c r="BD44" i="14"/>
  <c r="AZ47" i="14"/>
  <c r="AW28" i="14"/>
  <c r="AV42" i="14"/>
  <c r="AW50" i="14"/>
  <c r="AY32" i="14"/>
  <c r="BB49" i="14"/>
  <c r="AW52" i="14"/>
  <c r="BD33" i="14"/>
  <c r="BD25" i="14"/>
  <c r="AX33" i="14"/>
  <c r="AX25" i="14"/>
  <c r="BC26" i="14"/>
  <c r="BC34" i="14"/>
  <c r="AX51" i="14"/>
  <c r="AW25" i="14"/>
  <c r="AW33" i="14"/>
  <c r="AX42" i="14"/>
  <c r="BB26" i="14"/>
  <c r="BB34" i="14"/>
  <c r="AV51" i="14"/>
  <c r="AX32" i="14"/>
  <c r="AZ48" i="14"/>
  <c r="BD42" i="14"/>
  <c r="AW27" i="14"/>
  <c r="AV44" i="14"/>
  <c r="AW34" i="14"/>
  <c r="AW26" i="14"/>
  <c r="BA27" i="14"/>
  <c r="AX28" i="14"/>
  <c r="BA29" i="14"/>
  <c r="AZ43" i="14"/>
  <c r="AX27" i="14"/>
  <c r="BC49" i="14"/>
  <c r="BB50" i="14"/>
  <c r="AV50" i="14"/>
  <c r="BC52" i="14"/>
  <c r="BD31" i="14"/>
  <c r="AV26" i="14"/>
  <c r="AV34" i="14"/>
  <c r="AX47" i="14"/>
  <c r="BD32" i="14"/>
  <c r="AV49" i="14"/>
  <c r="AY26" i="14"/>
  <c r="AY34" i="14"/>
  <c r="BA34" i="14"/>
  <c r="BA26" i="14"/>
  <c r="AX30" i="14"/>
  <c r="AX49" i="14"/>
  <c r="BD51" i="14"/>
  <c r="AV43" i="14"/>
  <c r="BD30" i="14"/>
  <c r="AY25" i="14"/>
  <c r="AY33" i="14"/>
  <c r="BD27" i="14"/>
  <c r="AW32" i="14"/>
  <c r="BD50" i="14"/>
  <c r="P51" i="8"/>
  <c r="Q51" i="8"/>
  <c r="S51" i="8"/>
  <c r="J45" i="8"/>
  <c r="AN146" i="8"/>
  <c r="V36" i="8"/>
  <c r="Y36" i="8"/>
  <c r="AE131" i="8"/>
  <c r="W36" i="8"/>
  <c r="Y123" i="8" s="1"/>
  <c r="J36" i="8"/>
  <c r="M36" i="8"/>
  <c r="K36" i="8"/>
  <c r="AC35" i="8"/>
  <c r="AE122" i="8" s="1"/>
  <c r="AE35" i="8"/>
  <c r="AO146" i="8"/>
  <c r="Y91" i="8"/>
  <c r="G35" i="8"/>
  <c r="E35" i="8"/>
  <c r="D35" i="8"/>
  <c r="F78" i="8"/>
  <c r="AD84" i="8"/>
  <c r="X48" i="8"/>
  <c r="M34" i="8"/>
  <c r="Q141" i="8"/>
  <c r="R141" i="8" s="1"/>
  <c r="R97" i="8"/>
  <c r="G34" i="8"/>
  <c r="D34" i="8"/>
  <c r="E34" i="8" s="1"/>
  <c r="F34" i="8" s="1"/>
  <c r="S127" i="8"/>
  <c r="Q54" i="8"/>
  <c r="P54" i="8"/>
  <c r="S54" i="8"/>
  <c r="AE39" i="8"/>
  <c r="AC39" i="8"/>
  <c r="Y50" i="8"/>
  <c r="W50" i="8"/>
  <c r="V50" i="8"/>
  <c r="AE92" i="8"/>
  <c r="K34" i="8"/>
  <c r="W40" i="8"/>
  <c r="X40" i="8" s="1"/>
  <c r="V40" i="8"/>
  <c r="Y40" i="8"/>
  <c r="P56" i="8"/>
  <c r="S56" i="8"/>
  <c r="Q56" i="8"/>
  <c r="R56" i="8" s="1"/>
  <c r="S57" i="8"/>
  <c r="Q57" i="8"/>
  <c r="P57" i="8"/>
  <c r="S93" i="8"/>
  <c r="J37" i="8"/>
  <c r="M37" i="8"/>
  <c r="K37" i="8"/>
  <c r="M124" i="8" s="1"/>
  <c r="Q55" i="8"/>
  <c r="S142" i="8" s="1"/>
  <c r="P55" i="8"/>
  <c r="R98" i="8"/>
  <c r="K40" i="8"/>
  <c r="M127" i="8" s="1"/>
  <c r="K139" i="8"/>
  <c r="L95" i="8"/>
  <c r="R88" i="8"/>
  <c r="V38" i="8"/>
  <c r="Y38" i="8"/>
  <c r="W38" i="8"/>
  <c r="Q42" i="8"/>
  <c r="S42" i="8"/>
  <c r="P42" i="8"/>
  <c r="Y46" i="8"/>
  <c r="W46" i="8"/>
  <c r="V46" i="8"/>
  <c r="D30" i="15"/>
  <c r="G30" i="15" s="1"/>
  <c r="E16" i="16"/>
  <c r="G31" i="15"/>
  <c r="D20" i="17"/>
  <c r="G20" i="17" s="1"/>
  <c r="D23" i="17" s="1"/>
  <c r="G23" i="17" s="1"/>
  <c r="D31" i="17"/>
  <c r="G31" i="17" s="1"/>
  <c r="J31" i="17" s="1"/>
  <c r="Y128" i="8"/>
  <c r="AM127" i="8"/>
  <c r="Q134" i="8"/>
  <c r="R90" i="8"/>
  <c r="AR146" i="8"/>
  <c r="G46" i="8"/>
  <c r="E46" i="8"/>
  <c r="D46" i="8"/>
  <c r="K125" i="8"/>
  <c r="L81" i="8"/>
  <c r="AD52" i="8"/>
  <c r="K130" i="8"/>
  <c r="L130" i="8" s="1"/>
  <c r="L86" i="8"/>
  <c r="E124" i="8"/>
  <c r="F80" i="8"/>
  <c r="W122" i="8"/>
  <c r="X78" i="8"/>
  <c r="S44" i="8"/>
  <c r="P44" i="8"/>
  <c r="Q44" i="8"/>
  <c r="G100" i="8"/>
  <c r="G144" i="8"/>
  <c r="F57" i="8"/>
  <c r="AE86" i="8"/>
  <c r="AD43" i="8"/>
  <c r="Q119" i="8"/>
  <c r="R75" i="8"/>
  <c r="AC121" i="8"/>
  <c r="AD77" i="8"/>
  <c r="L48" i="8"/>
  <c r="M122" i="8"/>
  <c r="K131" i="8"/>
  <c r="L87" i="8"/>
  <c r="G80" i="8"/>
  <c r="AC133" i="8"/>
  <c r="AD89" i="8"/>
  <c r="E142" i="8"/>
  <c r="F142" i="8" s="1"/>
  <c r="F98" i="8"/>
  <c r="Q131" i="8"/>
  <c r="R131" i="8" s="1"/>
  <c r="R87" i="8"/>
  <c r="M96" i="8"/>
  <c r="L53" i="8"/>
  <c r="AD54" i="8"/>
  <c r="V55" i="8"/>
  <c r="Y55" i="8"/>
  <c r="W55" i="8"/>
  <c r="X35" i="8"/>
  <c r="Y129" i="8"/>
  <c r="W132" i="8"/>
  <c r="X88" i="8"/>
  <c r="K135" i="8"/>
  <c r="L135" i="8" s="1"/>
  <c r="L91" i="8"/>
  <c r="AC141" i="8"/>
  <c r="AD141" i="8" s="1"/>
  <c r="AD97" i="8"/>
  <c r="AR102" i="8"/>
  <c r="Q137" i="8"/>
  <c r="R93" i="8"/>
  <c r="X77" i="8"/>
  <c r="W121" i="8"/>
  <c r="Q140" i="8"/>
  <c r="R140" i="8" s="1"/>
  <c r="R96" i="8"/>
  <c r="K144" i="8"/>
  <c r="L100" i="8"/>
  <c r="M98" i="8"/>
  <c r="L55" i="8"/>
  <c r="W119" i="8"/>
  <c r="X75" i="8"/>
  <c r="X47" i="8"/>
  <c r="E133" i="8"/>
  <c r="F133" i="8" s="1"/>
  <c r="F89" i="8"/>
  <c r="W142" i="8"/>
  <c r="X142" i="8" s="1"/>
  <c r="X98" i="8"/>
  <c r="W140" i="8"/>
  <c r="X96" i="8"/>
  <c r="G140" i="8"/>
  <c r="K141" i="8"/>
  <c r="L97" i="8"/>
  <c r="E132" i="8"/>
  <c r="G132" i="8" s="1"/>
  <c r="F88" i="8"/>
  <c r="E121" i="8"/>
  <c r="F77" i="8"/>
  <c r="G49" i="8"/>
  <c r="D49" i="8"/>
  <c r="E49" i="8"/>
  <c r="X54" i="8"/>
  <c r="Q120" i="8"/>
  <c r="R76" i="8"/>
  <c r="AE99" i="8"/>
  <c r="AD56" i="8"/>
  <c r="G42" i="8"/>
  <c r="E42" i="8"/>
  <c r="D42" i="8"/>
  <c r="E118" i="8"/>
  <c r="F118" i="8" s="1"/>
  <c r="F74" i="8"/>
  <c r="Q143" i="8"/>
  <c r="R99" i="8"/>
  <c r="W127" i="8"/>
  <c r="X83" i="8"/>
  <c r="M91" i="8"/>
  <c r="E131" i="8"/>
  <c r="F131" i="8" s="1"/>
  <c r="F87" i="8"/>
  <c r="E136" i="8"/>
  <c r="F136" i="8" s="1"/>
  <c r="F92" i="8"/>
  <c r="M86" i="8"/>
  <c r="S83" i="8"/>
  <c r="R40" i="8"/>
  <c r="F31" i="8"/>
  <c r="G51" i="8"/>
  <c r="E51" i="8"/>
  <c r="D51" i="8"/>
  <c r="Q122" i="8"/>
  <c r="R78" i="8"/>
  <c r="K129" i="8"/>
  <c r="L85" i="8"/>
  <c r="AC144" i="8"/>
  <c r="AD100" i="8"/>
  <c r="AL146" i="8"/>
  <c r="K126" i="8"/>
  <c r="L82" i="8"/>
  <c r="W141" i="8"/>
  <c r="X97" i="8"/>
  <c r="Q130" i="8"/>
  <c r="R86" i="8"/>
  <c r="W139" i="8"/>
  <c r="X95" i="8"/>
  <c r="K133" i="8"/>
  <c r="L89" i="8"/>
  <c r="AM131" i="8"/>
  <c r="S53" i="8"/>
  <c r="P53" i="8"/>
  <c r="Q53" i="8"/>
  <c r="K121" i="8"/>
  <c r="L77" i="8"/>
  <c r="AC137" i="8"/>
  <c r="AD137" i="8" s="1"/>
  <c r="AD93" i="8"/>
  <c r="W130" i="8"/>
  <c r="X86" i="8"/>
  <c r="E55" i="8"/>
  <c r="G55" i="8"/>
  <c r="D55" i="8"/>
  <c r="K138" i="8"/>
  <c r="L94" i="8"/>
  <c r="M94" i="8"/>
  <c r="Y75" i="8"/>
  <c r="AE97" i="8"/>
  <c r="M89" i="8"/>
  <c r="AC136" i="8"/>
  <c r="AD92" i="8"/>
  <c r="K118" i="8"/>
  <c r="L74" i="8"/>
  <c r="Y86" i="8"/>
  <c r="W118" i="8"/>
  <c r="X74" i="8"/>
  <c r="R80" i="8"/>
  <c r="Q124" i="8"/>
  <c r="AC127" i="8"/>
  <c r="AD127" i="8" s="1"/>
  <c r="AD83" i="8"/>
  <c r="AC118" i="8"/>
  <c r="AD74" i="8"/>
  <c r="G91" i="8"/>
  <c r="F48" i="8"/>
  <c r="AC139" i="8"/>
  <c r="AD139" i="8" s="1"/>
  <c r="AD95" i="8"/>
  <c r="E138" i="8"/>
  <c r="F138" i="8" s="1"/>
  <c r="F94" i="8"/>
  <c r="AC132" i="8"/>
  <c r="AD88" i="8"/>
  <c r="AE50" i="8"/>
  <c r="AC50" i="8"/>
  <c r="AB50" i="8"/>
  <c r="K132" i="8"/>
  <c r="L132" i="8" s="1"/>
  <c r="L88" i="8"/>
  <c r="Y78" i="8"/>
  <c r="AC135" i="8"/>
  <c r="AD91" i="8"/>
  <c r="AC134" i="8"/>
  <c r="AD134" i="8" s="1"/>
  <c r="AD90" i="8"/>
  <c r="W131" i="8"/>
  <c r="X87" i="8"/>
  <c r="G74" i="8"/>
  <c r="F45" i="8"/>
  <c r="Y136" i="8"/>
  <c r="Y92" i="8"/>
  <c r="X49" i="8"/>
  <c r="W134" i="8"/>
  <c r="X134" i="8" s="1"/>
  <c r="X90" i="8"/>
  <c r="Y87" i="8"/>
  <c r="AD21" i="17"/>
  <c r="AD133" i="17"/>
  <c r="AD201" i="17"/>
  <c r="AD34" i="17"/>
  <c r="AD151" i="17"/>
  <c r="AD105" i="17"/>
  <c r="AD95" i="17"/>
  <c r="AD153" i="17"/>
  <c r="AD170" i="17"/>
  <c r="AD43" i="17"/>
  <c r="AD91" i="17"/>
  <c r="AD159" i="17"/>
  <c r="AD184" i="17"/>
  <c r="AD109" i="17"/>
  <c r="AD171" i="17"/>
  <c r="AD103" i="17"/>
  <c r="AD169" i="17"/>
  <c r="AD81" i="17"/>
  <c r="AD207" i="17"/>
  <c r="AD200" i="17"/>
  <c r="AD135" i="17"/>
  <c r="AD25" i="17"/>
  <c r="AD147" i="17"/>
  <c r="AD141" i="17"/>
  <c r="AD149" i="17"/>
  <c r="AD87" i="17"/>
  <c r="AD117" i="17"/>
  <c r="AD16" i="17"/>
  <c r="AD53" i="17"/>
  <c r="AD196" i="17"/>
  <c r="AD164" i="17"/>
  <c r="AD119" i="17"/>
  <c r="AD177" i="17"/>
  <c r="AD157" i="17"/>
  <c r="AD131" i="17"/>
  <c r="AD127" i="17"/>
  <c r="AD143" i="17"/>
  <c r="AD161" i="17"/>
  <c r="AD172" i="17"/>
  <c r="AD17" i="17"/>
  <c r="AD194" i="17"/>
  <c r="AD123" i="17"/>
  <c r="AD137" i="17"/>
  <c r="AD138" i="17"/>
  <c r="AD24" i="17"/>
  <c r="AD50" i="17"/>
  <c r="AD29" i="17"/>
  <c r="AD68" i="17"/>
  <c r="AD47" i="17"/>
  <c r="AD86" i="17"/>
  <c r="AD97" i="17"/>
  <c r="AD92" i="17"/>
  <c r="AD204" i="17"/>
  <c r="AD28" i="17"/>
  <c r="AD152" i="17"/>
  <c r="AD198" i="17"/>
  <c r="AD100" i="17"/>
  <c r="AD78" i="17"/>
  <c r="AD23" i="17"/>
  <c r="AD145" i="17"/>
  <c r="AD129" i="17"/>
  <c r="AD183" i="17"/>
  <c r="AD41" i="17"/>
  <c r="AD74" i="17"/>
  <c r="AD56" i="17"/>
  <c r="AD22" i="17"/>
  <c r="AD36" i="17"/>
  <c r="AD71" i="17"/>
  <c r="AD121" i="17"/>
  <c r="AD174" i="17"/>
  <c r="AD193" i="17"/>
  <c r="AD163" i="17"/>
  <c r="AD27" i="17"/>
  <c r="AD136" i="17"/>
  <c r="AD101" i="17"/>
  <c r="AD66" i="17"/>
  <c r="AD48" i="17"/>
  <c r="AD26" i="17"/>
  <c r="AD115" i="17"/>
  <c r="AD195" i="17"/>
  <c r="AD176" i="17"/>
  <c r="AD186" i="17"/>
  <c r="AD188" i="17"/>
  <c r="AD83" i="17"/>
  <c r="AD114" i="17"/>
  <c r="AD102" i="17"/>
  <c r="AD90" i="17"/>
  <c r="AD64" i="17"/>
  <c r="AD46" i="17"/>
  <c r="AD134" i="17"/>
  <c r="AD190" i="17"/>
  <c r="AD197" i="17"/>
  <c r="AD187" i="17"/>
  <c r="AD120" i="17"/>
  <c r="AD139" i="17"/>
  <c r="AD111" i="17"/>
  <c r="AD162" i="17"/>
  <c r="AD199" i="17"/>
  <c r="AD178" i="17"/>
  <c r="AD126" i="17"/>
  <c r="AD144" i="17"/>
  <c r="AD112" i="17"/>
  <c r="AD88" i="17"/>
  <c r="AD44" i="17"/>
  <c r="AD113" i="17"/>
  <c r="AD125" i="17"/>
  <c r="AD75" i="17"/>
  <c r="AD107" i="17"/>
  <c r="AD213" i="17"/>
  <c r="AD42" i="17"/>
  <c r="AD209" i="17"/>
  <c r="AD37" i="17"/>
  <c r="AD77" i="17"/>
  <c r="AD212" i="17"/>
  <c r="AD49" i="17"/>
  <c r="AD79" i="17"/>
  <c r="AD31" i="17"/>
  <c r="AD192" i="17"/>
  <c r="AD65" i="17"/>
  <c r="AD63" i="17"/>
  <c r="AD99" i="17"/>
  <c r="AD181" i="17"/>
  <c r="AD39" i="17"/>
  <c r="AD32" i="17"/>
  <c r="AD130" i="17"/>
  <c r="AD167" i="17"/>
  <c r="AD155" i="17"/>
  <c r="AD140" i="17"/>
  <c r="AD132" i="17"/>
  <c r="AD84" i="17"/>
  <c r="AD62" i="17"/>
  <c r="AD19" i="17"/>
  <c r="AD57" i="17"/>
  <c r="AD154" i="17"/>
  <c r="AD15" i="17"/>
  <c r="AD35" i="17"/>
  <c r="AD173" i="17"/>
  <c r="AD191" i="17"/>
  <c r="AD80" i="17"/>
  <c r="AD185" i="17"/>
  <c r="AD30" i="17"/>
  <c r="AD38" i="17"/>
  <c r="AD146" i="17"/>
  <c r="AD160" i="17"/>
  <c r="AD40" i="17"/>
  <c r="AD156" i="17"/>
  <c r="AD118" i="17"/>
  <c r="AD148" i="17"/>
  <c r="AD106" i="17"/>
  <c r="AD94" i="17"/>
  <c r="AD70" i="17"/>
  <c r="AD52" i="17"/>
  <c r="AD158" i="17"/>
  <c r="AD72" i="17"/>
  <c r="AD54" i="17"/>
  <c r="AD179" i="17"/>
  <c r="AD180" i="17"/>
  <c r="AD20" i="17"/>
  <c r="AD116" i="17"/>
  <c r="AD104" i="17"/>
  <c r="AD45" i="17"/>
  <c r="AD18" i="17"/>
  <c r="AD166" i="17"/>
  <c r="AD203" i="17"/>
  <c r="AD211" i="17"/>
  <c r="AD128" i="17"/>
  <c r="AD142" i="17"/>
  <c r="AD33" i="17"/>
  <c r="AD96" i="17"/>
  <c r="AD208" i="17"/>
  <c r="AD73" i="17"/>
  <c r="AD67" i="17"/>
  <c r="AD93" i="17"/>
  <c r="AD205" i="17"/>
  <c r="AD206" i="17"/>
  <c r="AD61" i="17"/>
  <c r="AD82" i="17"/>
  <c r="AD124" i="17"/>
  <c r="AD51" i="17"/>
  <c r="AD69" i="17"/>
  <c r="AD214" i="17"/>
  <c r="AD175" i="17"/>
  <c r="AD89" i="17"/>
  <c r="AD189" i="17"/>
  <c r="AD202" i="17"/>
  <c r="AD168" i="17"/>
  <c r="AD122" i="17"/>
  <c r="AD55" i="17"/>
  <c r="AD182" i="17"/>
  <c r="AD110" i="17"/>
  <c r="AD98" i="17"/>
  <c r="AD76" i="17"/>
  <c r="AD58" i="17"/>
  <c r="AD210" i="17"/>
  <c r="AD60" i="17"/>
  <c r="AD165" i="17"/>
  <c r="AD85" i="17"/>
  <c r="AD150" i="17"/>
  <c r="AD108" i="17"/>
  <c r="AD59" i="17"/>
  <c r="F36" i="8" l="1"/>
  <c r="G123" i="8"/>
  <c r="AG52" i="4"/>
  <c r="AI52" i="4"/>
  <c r="AB58" i="4"/>
  <c r="AA16" i="4" s="1"/>
  <c r="AB17" i="4" s="1"/>
  <c r="C14" i="17" s="1"/>
  <c r="M6" i="6" s="1"/>
  <c r="AK52" i="4"/>
  <c r="AK58" i="4" s="1"/>
  <c r="W52" i="4"/>
  <c r="W58" i="4" s="1"/>
  <c r="Y52" i="4"/>
  <c r="Y58" i="4" s="1"/>
  <c r="AE74" i="8"/>
  <c r="AE83" i="8"/>
  <c r="AN102" i="8"/>
  <c r="AT102" i="8"/>
  <c r="R58" i="4"/>
  <c r="Q16" i="4" s="1"/>
  <c r="R17" i="4" s="1"/>
  <c r="AL58" i="4"/>
  <c r="AK16" i="4" s="1"/>
  <c r="AL17" i="4" s="1"/>
  <c r="C7" i="19" s="1"/>
  <c r="AD58" i="4"/>
  <c r="AC16" i="4" s="1"/>
  <c r="AD17" i="4" s="1"/>
  <c r="G128" i="8"/>
  <c r="AF58" i="4"/>
  <c r="AE16" i="4" s="1"/>
  <c r="AF17" i="4" s="1"/>
  <c r="G97" i="8"/>
  <c r="AH58" i="4"/>
  <c r="AG16" i="4" s="1"/>
  <c r="AH17" i="4" s="1"/>
  <c r="S52" i="4"/>
  <c r="S58" i="4" s="1"/>
  <c r="AM52" i="4"/>
  <c r="AM58" i="4" s="1"/>
  <c r="AG58" i="4"/>
  <c r="F54" i="8"/>
  <c r="P58" i="4"/>
  <c r="O16" i="4" s="1"/>
  <c r="P17" i="4" s="1"/>
  <c r="AJ58" i="4"/>
  <c r="AI16" i="4" s="1"/>
  <c r="AJ17" i="4" s="1"/>
  <c r="U52" i="4"/>
  <c r="U58" i="4" s="1"/>
  <c r="O58" i="4"/>
  <c r="AI58" i="4"/>
  <c r="T58" i="4"/>
  <c r="S16" i="4" s="1"/>
  <c r="T17" i="4" s="1"/>
  <c r="V58" i="4"/>
  <c r="U16" i="4" s="1"/>
  <c r="V17" i="4" s="1"/>
  <c r="AA52" i="4"/>
  <c r="AA58" i="4" s="1"/>
  <c r="G84" i="8"/>
  <c r="AE129" i="8"/>
  <c r="Q58" i="4"/>
  <c r="AP102" i="8"/>
  <c r="X58" i="4"/>
  <c r="W16" i="4" s="1"/>
  <c r="X17" i="4" s="1"/>
  <c r="AC52" i="4"/>
  <c r="AC58" i="4" s="1"/>
  <c r="AN58" i="4"/>
  <c r="AM16" i="4" s="1"/>
  <c r="AN17" i="4" s="1"/>
  <c r="H7" i="19" s="1"/>
  <c r="M9" i="6" s="1"/>
  <c r="X93" i="8"/>
  <c r="Z58" i="4"/>
  <c r="Y16" i="4" s="1"/>
  <c r="Z17" i="4" s="1"/>
  <c r="AE52" i="4"/>
  <c r="AE58" i="4" s="1"/>
  <c r="AD42" i="8"/>
  <c r="D42" i="14"/>
  <c r="G42" i="14" s="1"/>
  <c r="AQ102" i="8"/>
  <c r="AD116" i="8"/>
  <c r="E7" i="8"/>
  <c r="J59" i="8"/>
  <c r="L59" i="8" s="1"/>
  <c r="X116" i="8"/>
  <c r="V146" i="8"/>
  <c r="X146" i="8" s="1"/>
  <c r="R116" i="8"/>
  <c r="P146" i="8"/>
  <c r="R146" i="8" s="1"/>
  <c r="X39" i="8"/>
  <c r="Y126" i="8"/>
  <c r="L116" i="8"/>
  <c r="J146" i="8"/>
  <c r="L146" i="8" s="1"/>
  <c r="V102" i="8"/>
  <c r="X102" i="8" s="1"/>
  <c r="M43" i="2" s="1"/>
  <c r="L50" i="8"/>
  <c r="M93" i="8"/>
  <c r="L39" i="8"/>
  <c r="M82" i="8"/>
  <c r="R46" i="8"/>
  <c r="S133" i="8"/>
  <c r="AQ146" i="8"/>
  <c r="AP146" i="8"/>
  <c r="AS146" i="8"/>
  <c r="AU102" i="8"/>
  <c r="AD51" i="8"/>
  <c r="AE138" i="8"/>
  <c r="AE94" i="8"/>
  <c r="AU146" i="8"/>
  <c r="AT146" i="8"/>
  <c r="AD76" i="8"/>
  <c r="AC120" i="8"/>
  <c r="AB146" i="8" s="1"/>
  <c r="AD146" i="8" s="1"/>
  <c r="AD55" i="8"/>
  <c r="X33" i="8"/>
  <c r="S78" i="8"/>
  <c r="S135" i="8"/>
  <c r="S91" i="8"/>
  <c r="R31" i="8"/>
  <c r="AE84" i="8"/>
  <c r="J29" i="15"/>
  <c r="AV18" i="15" s="1"/>
  <c r="L49" i="8"/>
  <c r="Y138" i="8"/>
  <c r="G81" i="8"/>
  <c r="Y94" i="8"/>
  <c r="G125" i="8"/>
  <c r="M95" i="8"/>
  <c r="Y144" i="8"/>
  <c r="M140" i="8"/>
  <c r="Y120" i="8"/>
  <c r="R45" i="8"/>
  <c r="S118" i="8"/>
  <c r="S88" i="8"/>
  <c r="M74" i="8"/>
  <c r="AE96" i="8"/>
  <c r="G126" i="8"/>
  <c r="Y124" i="8"/>
  <c r="F44" i="8"/>
  <c r="Y96" i="8"/>
  <c r="AE76" i="8"/>
  <c r="AD37" i="8"/>
  <c r="AE80" i="8"/>
  <c r="AE124" i="8"/>
  <c r="G76" i="8"/>
  <c r="AE77" i="8"/>
  <c r="G95" i="8"/>
  <c r="M137" i="8"/>
  <c r="AE119" i="8"/>
  <c r="R41" i="8"/>
  <c r="AE140" i="8"/>
  <c r="M87" i="8"/>
  <c r="G139" i="8"/>
  <c r="AB59" i="8"/>
  <c r="AD59" i="8" s="1"/>
  <c r="AM102" i="8"/>
  <c r="L40" i="8"/>
  <c r="F39" i="8"/>
  <c r="G82" i="8"/>
  <c r="F33" i="8"/>
  <c r="M136" i="8"/>
  <c r="AE128" i="8"/>
  <c r="S128" i="8"/>
  <c r="Y77" i="8"/>
  <c r="AD47" i="8"/>
  <c r="M88" i="8"/>
  <c r="AL102" i="8"/>
  <c r="S99" i="8"/>
  <c r="R39" i="8"/>
  <c r="S82" i="8"/>
  <c r="S79" i="8"/>
  <c r="M85" i="8"/>
  <c r="M119" i="8"/>
  <c r="M130" i="8"/>
  <c r="AE81" i="8"/>
  <c r="AE125" i="8"/>
  <c r="AD38" i="8"/>
  <c r="G77" i="8"/>
  <c r="Y134" i="8"/>
  <c r="G143" i="8"/>
  <c r="G99" i="8"/>
  <c r="F56" i="8"/>
  <c r="F32" i="8"/>
  <c r="G75" i="8"/>
  <c r="Y83" i="8"/>
  <c r="X57" i="8"/>
  <c r="Y100" i="8"/>
  <c r="L33" i="8"/>
  <c r="M120" i="8"/>
  <c r="I42" i="2"/>
  <c r="R123" i="8"/>
  <c r="S123" i="8"/>
  <c r="AB60" i="8"/>
  <c r="AD60" i="8" s="1"/>
  <c r="R38" i="8"/>
  <c r="S125" i="8"/>
  <c r="S81" i="8"/>
  <c r="D32" i="14"/>
  <c r="G32" i="14" s="1"/>
  <c r="D27" i="14" s="1"/>
  <c r="G86" i="8"/>
  <c r="F43" i="8"/>
  <c r="Y74" i="8"/>
  <c r="AE142" i="8"/>
  <c r="L56" i="8"/>
  <c r="M99" i="8"/>
  <c r="M75" i="8"/>
  <c r="L32" i="8"/>
  <c r="G131" i="8"/>
  <c r="AE127" i="8"/>
  <c r="AM146" i="8"/>
  <c r="J60" i="8"/>
  <c r="L60" i="8" s="1"/>
  <c r="X46" i="8"/>
  <c r="Y89" i="8"/>
  <c r="S141" i="8"/>
  <c r="R54" i="8"/>
  <c r="S97" i="8"/>
  <c r="P59" i="8"/>
  <c r="D60" i="8"/>
  <c r="V60" i="8"/>
  <c r="X60" i="8" s="1"/>
  <c r="S100" i="8"/>
  <c r="R57" i="8"/>
  <c r="S144" i="8"/>
  <c r="F35" i="8"/>
  <c r="G78" i="8"/>
  <c r="G122" i="8"/>
  <c r="R42" i="8"/>
  <c r="S129" i="8"/>
  <c r="S85" i="8"/>
  <c r="G118" i="8"/>
  <c r="M77" i="8"/>
  <c r="X38" i="8"/>
  <c r="Y125" i="8"/>
  <c r="Y81" i="8"/>
  <c r="L34" i="8"/>
  <c r="AE141" i="8"/>
  <c r="X50" i="8"/>
  <c r="Y137" i="8"/>
  <c r="Y93" i="8"/>
  <c r="Y133" i="8"/>
  <c r="Y79" i="8"/>
  <c r="M83" i="8"/>
  <c r="L139" i="8"/>
  <c r="M139" i="8"/>
  <c r="X36" i="8"/>
  <c r="R55" i="8"/>
  <c r="S98" i="8"/>
  <c r="AE126" i="8"/>
  <c r="AE82" i="8"/>
  <c r="AD39" i="8"/>
  <c r="AD35" i="8"/>
  <c r="AE78" i="8"/>
  <c r="L37" i="8"/>
  <c r="M80" i="8"/>
  <c r="L36" i="8"/>
  <c r="M123" i="8"/>
  <c r="M79" i="8"/>
  <c r="S94" i="8"/>
  <c r="R51" i="8"/>
  <c r="S138" i="8"/>
  <c r="AE134" i="8"/>
  <c r="P60" i="8"/>
  <c r="R60" i="8" s="1"/>
  <c r="X122" i="8"/>
  <c r="Y122" i="8"/>
  <c r="X141" i="8"/>
  <c r="Y141" i="8"/>
  <c r="F132" i="8"/>
  <c r="R120" i="8"/>
  <c r="S120" i="8"/>
  <c r="R122" i="8"/>
  <c r="S122" i="8"/>
  <c r="X130" i="8"/>
  <c r="Y130" i="8"/>
  <c r="L133" i="8"/>
  <c r="M133" i="8"/>
  <c r="R102" i="8"/>
  <c r="K43" i="2" s="1"/>
  <c r="K42" i="2"/>
  <c r="L118" i="8"/>
  <c r="M118" i="8"/>
  <c r="G133" i="8"/>
  <c r="F46" i="8"/>
  <c r="G89" i="8"/>
  <c r="D24" i="17"/>
  <c r="G24" i="17" s="1"/>
  <c r="J20" i="17"/>
  <c r="AD136" i="8"/>
  <c r="AE136" i="8"/>
  <c r="J36" i="15"/>
  <c r="J37" i="15"/>
  <c r="L144" i="8"/>
  <c r="M144" i="8"/>
  <c r="AD118" i="8"/>
  <c r="AE118" i="8"/>
  <c r="X139" i="8"/>
  <c r="Y139" i="8"/>
  <c r="L126" i="8"/>
  <c r="M126" i="8"/>
  <c r="M135" i="8"/>
  <c r="F124" i="8"/>
  <c r="G124" i="8"/>
  <c r="AE139" i="8"/>
  <c r="J23" i="17"/>
  <c r="J26" i="17"/>
  <c r="J25" i="17"/>
  <c r="J24" i="17"/>
  <c r="X131" i="8"/>
  <c r="Y131" i="8"/>
  <c r="L121" i="8"/>
  <c r="M121" i="8"/>
  <c r="F42" i="8"/>
  <c r="G85" i="8"/>
  <c r="G129" i="8"/>
  <c r="L141" i="8"/>
  <c r="M141" i="8"/>
  <c r="X121" i="8"/>
  <c r="Y121" i="8"/>
  <c r="X132" i="8"/>
  <c r="Y132" i="8"/>
  <c r="AD102" i="8"/>
  <c r="H16" i="16"/>
  <c r="AD50" i="8"/>
  <c r="AE137" i="8"/>
  <c r="AE93" i="8"/>
  <c r="AD121" i="8"/>
  <c r="AE121" i="8"/>
  <c r="AB194" i="15"/>
  <c r="AJ194" i="15" s="1"/>
  <c r="AB47" i="15"/>
  <c r="AJ47" i="15" s="1"/>
  <c r="AB185" i="15"/>
  <c r="AJ185" i="15" s="1"/>
  <c r="AB254" i="15"/>
  <c r="AJ254" i="15" s="1"/>
  <c r="AB272" i="15"/>
  <c r="AJ272" i="15" s="1"/>
  <c r="AB133" i="15"/>
  <c r="AJ133" i="15" s="1"/>
  <c r="AB311" i="15"/>
  <c r="AJ311" i="15" s="1"/>
  <c r="AB138" i="15"/>
  <c r="AJ138" i="15" s="1"/>
  <c r="AB256" i="15"/>
  <c r="AJ256" i="15" s="1"/>
  <c r="AB45" i="15"/>
  <c r="AJ45" i="15" s="1"/>
  <c r="AB197" i="15"/>
  <c r="AJ197" i="15" s="1"/>
  <c r="AB143" i="15"/>
  <c r="AJ143" i="15" s="1"/>
  <c r="AB281" i="15"/>
  <c r="AJ281" i="15" s="1"/>
  <c r="AB50" i="15"/>
  <c r="AJ50" i="15" s="1"/>
  <c r="AB224" i="15"/>
  <c r="AJ224" i="15" s="1"/>
  <c r="AB244" i="15"/>
  <c r="AJ244" i="15" s="1"/>
  <c r="AB309" i="15"/>
  <c r="AJ309" i="15" s="1"/>
  <c r="AB106" i="15"/>
  <c r="AJ106" i="15" s="1"/>
  <c r="AB240" i="15"/>
  <c r="AJ240" i="15" s="1"/>
  <c r="AB67" i="15"/>
  <c r="AJ67" i="15" s="1"/>
  <c r="AB219" i="15"/>
  <c r="AJ219" i="15" s="1"/>
  <c r="AB273" i="15"/>
  <c r="AJ273" i="15" s="1"/>
  <c r="AB261" i="15"/>
  <c r="AJ261" i="15" s="1"/>
  <c r="AB204" i="15"/>
  <c r="AJ204" i="15" s="1"/>
  <c r="AB31" i="15"/>
  <c r="AJ31" i="15" s="1"/>
  <c r="AB308" i="15"/>
  <c r="AJ308" i="15" s="1"/>
  <c r="AB78" i="15"/>
  <c r="AJ78" i="15" s="1"/>
  <c r="AB136" i="15"/>
  <c r="AJ136" i="15" s="1"/>
  <c r="AB87" i="15"/>
  <c r="AJ87" i="15" s="1"/>
  <c r="AB298" i="15"/>
  <c r="AJ298" i="15" s="1"/>
  <c r="AB319" i="15"/>
  <c r="AJ319" i="15" s="1"/>
  <c r="AB329" i="15"/>
  <c r="AJ329" i="15" s="1"/>
  <c r="AB189" i="15"/>
  <c r="AJ189" i="15" s="1"/>
  <c r="AB211" i="15"/>
  <c r="AJ211" i="15" s="1"/>
  <c r="AB315" i="15"/>
  <c r="AJ315" i="15" s="1"/>
  <c r="AB226" i="15"/>
  <c r="AJ226" i="15" s="1"/>
  <c r="AB41" i="15"/>
  <c r="AJ41" i="15" s="1"/>
  <c r="AB253" i="15"/>
  <c r="AJ253" i="15" s="1"/>
  <c r="AB128" i="15"/>
  <c r="AJ128" i="15" s="1"/>
  <c r="AB163" i="15"/>
  <c r="AJ163" i="15" s="1"/>
  <c r="AB167" i="15"/>
  <c r="AJ167" i="15" s="1"/>
  <c r="AB305" i="15"/>
  <c r="AJ305" i="15" s="1"/>
  <c r="AB170" i="15"/>
  <c r="AJ170" i="15" s="1"/>
  <c r="AB248" i="15"/>
  <c r="AJ248" i="15" s="1"/>
  <c r="AB314" i="15"/>
  <c r="AJ314" i="15" s="1"/>
  <c r="AB322" i="15"/>
  <c r="AJ322" i="15" s="1"/>
  <c r="AB137" i="15"/>
  <c r="AJ137" i="15" s="1"/>
  <c r="AB205" i="15"/>
  <c r="AJ205" i="15" s="1"/>
  <c r="AB80" i="15"/>
  <c r="AJ80" i="15" s="1"/>
  <c r="AB76" i="15"/>
  <c r="AJ76" i="15" s="1"/>
  <c r="AB153" i="15"/>
  <c r="AJ153" i="15" s="1"/>
  <c r="AB54" i="15"/>
  <c r="AJ54" i="15" s="1"/>
  <c r="AB96" i="15"/>
  <c r="AJ96" i="15" s="1"/>
  <c r="AB222" i="15"/>
  <c r="AJ222" i="15" s="1"/>
  <c r="AB124" i="15"/>
  <c r="AJ124" i="15" s="1"/>
  <c r="AB129" i="15"/>
  <c r="AJ129" i="15" s="1"/>
  <c r="AB198" i="15"/>
  <c r="AJ198" i="15" s="1"/>
  <c r="AB48" i="15"/>
  <c r="AJ48" i="15" s="1"/>
  <c r="AB186" i="15"/>
  <c r="AJ186" i="15" s="1"/>
  <c r="AB235" i="15"/>
  <c r="AJ235" i="15" s="1"/>
  <c r="AB42" i="15"/>
  <c r="AJ42" i="15" s="1"/>
  <c r="AB165" i="15"/>
  <c r="AJ165" i="15" s="1"/>
  <c r="AB277" i="15"/>
  <c r="AJ277" i="15" s="1"/>
  <c r="AB282" i="15"/>
  <c r="AJ282" i="15" s="1"/>
  <c r="AB142" i="15"/>
  <c r="AJ142" i="15" s="1"/>
  <c r="AB237" i="15"/>
  <c r="AJ237" i="15" s="1"/>
  <c r="AB303" i="15"/>
  <c r="AJ303" i="15" s="1"/>
  <c r="AB70" i="15"/>
  <c r="AJ70" i="15" s="1"/>
  <c r="AB216" i="15"/>
  <c r="AJ216" i="15" s="1"/>
  <c r="AB109" i="15"/>
  <c r="AJ109" i="15" s="1"/>
  <c r="AB283" i="15"/>
  <c r="AJ283" i="15" s="1"/>
  <c r="AB300" i="15"/>
  <c r="AJ300" i="15" s="1"/>
  <c r="AB326" i="15"/>
  <c r="AJ326" i="15" s="1"/>
  <c r="AB161" i="15"/>
  <c r="AJ161" i="15" s="1"/>
  <c r="AB229" i="15"/>
  <c r="AJ229" i="15" s="1"/>
  <c r="AB104" i="15"/>
  <c r="AJ104" i="15" s="1"/>
  <c r="AB88" i="15"/>
  <c r="AJ88" i="15" s="1"/>
  <c r="AB166" i="15"/>
  <c r="AJ166" i="15" s="1"/>
  <c r="AB183" i="15"/>
  <c r="AJ183" i="15" s="1"/>
  <c r="AB61" i="15"/>
  <c r="AJ61" i="15" s="1"/>
  <c r="AB63" i="15"/>
  <c r="AJ63" i="15" s="1"/>
  <c r="AB230" i="15"/>
  <c r="AJ230" i="15" s="1"/>
  <c r="AB59" i="15"/>
  <c r="AJ59" i="15" s="1"/>
  <c r="AB251" i="15"/>
  <c r="AJ251" i="15" s="1"/>
  <c r="AB255" i="15"/>
  <c r="AJ255" i="15" s="1"/>
  <c r="AB182" i="15"/>
  <c r="AJ182" i="15" s="1"/>
  <c r="AB192" i="15"/>
  <c r="AJ192" i="15" s="1"/>
  <c r="AB215" i="15"/>
  <c r="AJ215" i="15" s="1"/>
  <c r="AB312" i="15"/>
  <c r="AJ312" i="15" s="1"/>
  <c r="AB181" i="15"/>
  <c r="AJ181" i="15" s="1"/>
  <c r="AB32" i="15"/>
  <c r="AJ32" i="15" s="1"/>
  <c r="AB112" i="15"/>
  <c r="AJ112" i="15" s="1"/>
  <c r="AB158" i="15"/>
  <c r="AJ158" i="15" s="1"/>
  <c r="AB208" i="15"/>
  <c r="AJ208" i="15" s="1"/>
  <c r="AB225" i="15"/>
  <c r="AJ225" i="15" s="1"/>
  <c r="AB227" i="15"/>
  <c r="AJ227" i="15" s="1"/>
  <c r="AB38" i="15"/>
  <c r="AJ38" i="15" s="1"/>
  <c r="AB139" i="15"/>
  <c r="AJ139" i="15" s="1"/>
  <c r="AB171" i="15"/>
  <c r="AJ171" i="15" s="1"/>
  <c r="AB202" i="15"/>
  <c r="AJ202" i="15" s="1"/>
  <c r="AB157" i="15"/>
  <c r="AJ157" i="15" s="1"/>
  <c r="AB85" i="15"/>
  <c r="AJ85" i="15" s="1"/>
  <c r="AB259" i="15"/>
  <c r="AJ259" i="15" s="1"/>
  <c r="AB220" i="15"/>
  <c r="AJ220" i="15" s="1"/>
  <c r="AB62" i="15"/>
  <c r="AJ62" i="15" s="1"/>
  <c r="AB146" i="15"/>
  <c r="AJ146" i="15" s="1"/>
  <c r="AB264" i="15"/>
  <c r="AJ264" i="15" s="1"/>
  <c r="AB91" i="15"/>
  <c r="AJ91" i="15" s="1"/>
  <c r="AB40" i="15"/>
  <c r="AJ40" i="15" s="1"/>
  <c r="AB212" i="15"/>
  <c r="AJ212" i="15" s="1"/>
  <c r="AB30" i="15"/>
  <c r="AJ30" i="15" s="1"/>
  <c r="AB107" i="15"/>
  <c r="AJ107" i="15" s="1"/>
  <c r="AB245" i="15"/>
  <c r="AJ245" i="15" s="1"/>
  <c r="AB313" i="15"/>
  <c r="AJ313" i="15" s="1"/>
  <c r="AB188" i="15"/>
  <c r="AJ188" i="15" s="1"/>
  <c r="AB307" i="15"/>
  <c r="AJ307" i="15" s="1"/>
  <c r="AB71" i="15"/>
  <c r="AJ71" i="15" s="1"/>
  <c r="AB209" i="15"/>
  <c r="AJ209" i="15" s="1"/>
  <c r="AB127" i="15"/>
  <c r="AJ127" i="15" s="1"/>
  <c r="AB242" i="15"/>
  <c r="AJ242" i="15" s="1"/>
  <c r="AB123" i="15"/>
  <c r="AJ123" i="15" s="1"/>
  <c r="AB81" i="15"/>
  <c r="AJ81" i="15" s="1"/>
  <c r="AB77" i="15"/>
  <c r="AJ77" i="15" s="1"/>
  <c r="AB168" i="15"/>
  <c r="AJ168" i="15" s="1"/>
  <c r="AB294" i="15"/>
  <c r="AJ294" i="15" s="1"/>
  <c r="AB159" i="15"/>
  <c r="AJ159" i="15" s="1"/>
  <c r="AB46" i="15"/>
  <c r="AJ46" i="15" s="1"/>
  <c r="AB60" i="15"/>
  <c r="AJ60" i="15" s="1"/>
  <c r="AB288" i="15"/>
  <c r="AJ288" i="15" s="1"/>
  <c r="AB115" i="15"/>
  <c r="AJ115" i="15" s="1"/>
  <c r="AB207" i="15"/>
  <c r="AJ207" i="15" s="1"/>
  <c r="AB177" i="15"/>
  <c r="AJ177" i="15" s="1"/>
  <c r="AB221" i="15"/>
  <c r="AJ221" i="15" s="1"/>
  <c r="AB120" i="15"/>
  <c r="AJ120" i="15" s="1"/>
  <c r="AB246" i="15"/>
  <c r="AJ246" i="15" s="1"/>
  <c r="AB193" i="15"/>
  <c r="AJ193" i="15" s="1"/>
  <c r="AB68" i="15"/>
  <c r="AJ68" i="15" s="1"/>
  <c r="AB297" i="15"/>
  <c r="AJ297" i="15" s="1"/>
  <c r="AB286" i="15"/>
  <c r="AJ286" i="15" s="1"/>
  <c r="AB101" i="15"/>
  <c r="AJ101" i="15" s="1"/>
  <c r="AB169" i="15"/>
  <c r="AJ169" i="15" s="1"/>
  <c r="AB44" i="15"/>
  <c r="AJ44" i="15" s="1"/>
  <c r="AB292" i="15"/>
  <c r="AJ292" i="15" s="1"/>
  <c r="AB250" i="15"/>
  <c r="AJ250" i="15" s="1"/>
  <c r="AB65" i="15"/>
  <c r="AJ65" i="15" s="1"/>
  <c r="AB135" i="15"/>
  <c r="AJ135" i="15" s="1"/>
  <c r="AB89" i="15"/>
  <c r="AJ89" i="15" s="1"/>
  <c r="AB69" i="15"/>
  <c r="AJ69" i="15" s="1"/>
  <c r="AB114" i="15"/>
  <c r="AJ114" i="15" s="1"/>
  <c r="AB296" i="15"/>
  <c r="AJ296" i="15" s="1"/>
  <c r="AB302" i="15"/>
  <c r="AJ302" i="15" s="1"/>
  <c r="AB284" i="15"/>
  <c r="AJ284" i="15" s="1"/>
  <c r="AB36" i="15"/>
  <c r="AJ36" i="15" s="1"/>
  <c r="AB323" i="15"/>
  <c r="AJ323" i="15" s="1"/>
  <c r="AB150" i="15"/>
  <c r="AJ150" i="15" s="1"/>
  <c r="AB64" i="15"/>
  <c r="AJ64" i="15" s="1"/>
  <c r="AB201" i="15"/>
  <c r="AJ201" i="15" s="1"/>
  <c r="AB176" i="15"/>
  <c r="AJ176" i="15" s="1"/>
  <c r="AB144" i="15"/>
  <c r="AJ144" i="15" s="1"/>
  <c r="AB270" i="15"/>
  <c r="AJ270" i="15" s="1"/>
  <c r="AB184" i="15"/>
  <c r="AJ184" i="15" s="1"/>
  <c r="AB33" i="15"/>
  <c r="AJ33" i="15" s="1"/>
  <c r="AB82" i="15"/>
  <c r="AJ82" i="15" s="1"/>
  <c r="AB275" i="15"/>
  <c r="AJ275" i="15" s="1"/>
  <c r="AB102" i="15"/>
  <c r="AJ102" i="15" s="1"/>
  <c r="AB49" i="15"/>
  <c r="AJ49" i="15" s="1"/>
  <c r="AB223" i="15"/>
  <c r="AJ223" i="15" s="1"/>
  <c r="AB172" i="15"/>
  <c r="AJ172" i="15" s="1"/>
  <c r="AB130" i="15"/>
  <c r="AJ130" i="15" s="1"/>
  <c r="AB301" i="15"/>
  <c r="AJ301" i="15" s="1"/>
  <c r="AB290" i="15"/>
  <c r="AJ290" i="15" s="1"/>
  <c r="AB199" i="15"/>
  <c r="AJ199" i="15" s="1"/>
  <c r="AB232" i="15"/>
  <c r="AJ232" i="15" s="1"/>
  <c r="AB94" i="15"/>
  <c r="AJ94" i="15" s="1"/>
  <c r="AB196" i="15"/>
  <c r="AJ196" i="15" s="1"/>
  <c r="AB93" i="15"/>
  <c r="AJ93" i="15" s="1"/>
  <c r="AB266" i="15"/>
  <c r="AJ266" i="15" s="1"/>
  <c r="AB265" i="15"/>
  <c r="AJ265" i="15" s="1"/>
  <c r="AB140" i="15"/>
  <c r="AJ140" i="15" s="1"/>
  <c r="AB318" i="15"/>
  <c r="AJ318" i="15" s="1"/>
  <c r="AB179" i="15"/>
  <c r="AJ179" i="15" s="1"/>
  <c r="AB317" i="15"/>
  <c r="AJ317" i="15" s="1"/>
  <c r="AB328" i="15"/>
  <c r="AJ328" i="15" s="1"/>
  <c r="AB57" i="15"/>
  <c r="AJ57" i="15" s="1"/>
  <c r="AB203" i="15"/>
  <c r="AJ203" i="15" s="1"/>
  <c r="AB299" i="15"/>
  <c r="AJ299" i="15" s="1"/>
  <c r="AB126" i="15"/>
  <c r="AJ126" i="15" s="1"/>
  <c r="AB122" i="15"/>
  <c r="AJ122" i="15" s="1"/>
  <c r="AB236" i="15"/>
  <c r="AJ236" i="15" s="1"/>
  <c r="AB152" i="15"/>
  <c r="AJ152" i="15" s="1"/>
  <c r="AB131" i="15"/>
  <c r="AJ131" i="15" s="1"/>
  <c r="AB269" i="15"/>
  <c r="AJ269" i="15" s="1"/>
  <c r="AB252" i="15"/>
  <c r="AJ252" i="15" s="1"/>
  <c r="AB79" i="15"/>
  <c r="AJ79" i="15" s="1"/>
  <c r="AB291" i="15"/>
  <c r="AJ291" i="15" s="1"/>
  <c r="AB285" i="15"/>
  <c r="AJ285" i="15" s="1"/>
  <c r="AB262" i="15"/>
  <c r="AJ262" i="15" s="1"/>
  <c r="AB228" i="15"/>
  <c r="AJ228" i="15" s="1"/>
  <c r="AB55" i="15"/>
  <c r="AJ55" i="15" s="1"/>
  <c r="AB75" i="15"/>
  <c r="AJ75" i="15" s="1"/>
  <c r="AB249" i="15"/>
  <c r="AJ249" i="15" s="1"/>
  <c r="AB160" i="15"/>
  <c r="AJ160" i="15" s="1"/>
  <c r="AB162" i="15"/>
  <c r="AJ162" i="15" s="1"/>
  <c r="AB278" i="15"/>
  <c r="AJ278" i="15" s="1"/>
  <c r="AB113" i="15"/>
  <c r="AJ113" i="15" s="1"/>
  <c r="AB145" i="15"/>
  <c r="AJ145" i="15" s="1"/>
  <c r="AB51" i="15"/>
  <c r="AJ51" i="15" s="1"/>
  <c r="AB134" i="15"/>
  <c r="AJ134" i="15" s="1"/>
  <c r="AB100" i="15"/>
  <c r="AJ100" i="15" s="1"/>
  <c r="AB121" i="15"/>
  <c r="AJ121" i="15" s="1"/>
  <c r="AB295" i="15"/>
  <c r="AJ295" i="15" s="1"/>
  <c r="AB324" i="15"/>
  <c r="AJ324" i="15" s="1"/>
  <c r="AB35" i="15"/>
  <c r="AJ35" i="15" s="1"/>
  <c r="AB173" i="15"/>
  <c r="AJ173" i="15" s="1"/>
  <c r="AB218" i="15"/>
  <c r="AJ218" i="15" s="1"/>
  <c r="AB260" i="15"/>
  <c r="AJ260" i="15" s="1"/>
  <c r="AB53" i="15"/>
  <c r="AJ53" i="15" s="1"/>
  <c r="AB155" i="15"/>
  <c r="AJ155" i="15" s="1"/>
  <c r="AB293" i="15"/>
  <c r="AJ293" i="15" s="1"/>
  <c r="AB217" i="15"/>
  <c r="AJ217" i="15" s="1"/>
  <c r="AB92" i="15"/>
  <c r="AJ92" i="15" s="1"/>
  <c r="AB190" i="15"/>
  <c r="AJ190" i="15" s="1"/>
  <c r="AB310" i="15"/>
  <c r="AJ310" i="15" s="1"/>
  <c r="AB125" i="15"/>
  <c r="AJ125" i="15" s="1"/>
  <c r="AB108" i="15"/>
  <c r="AJ108" i="15" s="1"/>
  <c r="AB234" i="15"/>
  <c r="AJ234" i="15" s="1"/>
  <c r="AB268" i="15"/>
  <c r="AJ268" i="15" s="1"/>
  <c r="AB141" i="15"/>
  <c r="AJ141" i="15" s="1"/>
  <c r="AB187" i="15"/>
  <c r="AJ187" i="15" s="1"/>
  <c r="AB84" i="15"/>
  <c r="AJ84" i="15" s="1"/>
  <c r="AB210" i="15"/>
  <c r="AJ210" i="15" s="1"/>
  <c r="AB267" i="15"/>
  <c r="AJ267" i="15" s="1"/>
  <c r="AB105" i="15"/>
  <c r="AJ105" i="15" s="1"/>
  <c r="AB280" i="15"/>
  <c r="AJ280" i="15" s="1"/>
  <c r="AB28" i="15"/>
  <c r="AB213" i="15"/>
  <c r="AJ213" i="15" s="1"/>
  <c r="AB132" i="15"/>
  <c r="AJ132" i="15" s="1"/>
  <c r="AB56" i="15"/>
  <c r="AJ56" i="15" s="1"/>
  <c r="AB279" i="15"/>
  <c r="AJ279" i="15" s="1"/>
  <c r="AB37" i="15"/>
  <c r="AJ37" i="15" s="1"/>
  <c r="AB110" i="15"/>
  <c r="AJ110" i="15" s="1"/>
  <c r="AB151" i="15"/>
  <c r="AJ151" i="15" s="1"/>
  <c r="AB243" i="15"/>
  <c r="AJ243" i="15" s="1"/>
  <c r="AB214" i="15"/>
  <c r="AJ214" i="15" s="1"/>
  <c r="AB29" i="15"/>
  <c r="AJ29" i="15" s="1"/>
  <c r="AB241" i="15"/>
  <c r="AJ241" i="15" s="1"/>
  <c r="AB116" i="15"/>
  <c r="AJ116" i="15" s="1"/>
  <c r="AB72" i="15"/>
  <c r="AJ72" i="15" s="1"/>
  <c r="AB74" i="15"/>
  <c r="AJ74" i="15" s="1"/>
  <c r="AB149" i="15"/>
  <c r="AJ149" i="15" s="1"/>
  <c r="AB73" i="15"/>
  <c r="AJ73" i="15" s="1"/>
  <c r="AB247" i="15"/>
  <c r="AJ247" i="15" s="1"/>
  <c r="AB316" i="15"/>
  <c r="AJ316" i="15" s="1"/>
  <c r="AB154" i="15"/>
  <c r="AJ154" i="15" s="1"/>
  <c r="AB304" i="15"/>
  <c r="AJ304" i="15" s="1"/>
  <c r="AB263" i="15"/>
  <c r="AJ263" i="15" s="1"/>
  <c r="AB90" i="15"/>
  <c r="AJ90" i="15" s="1"/>
  <c r="AB327" i="15"/>
  <c r="AJ327" i="15" s="1"/>
  <c r="AB206" i="15"/>
  <c r="AJ206" i="15" s="1"/>
  <c r="AB238" i="15"/>
  <c r="AJ238" i="15" s="1"/>
  <c r="AB239" i="15"/>
  <c r="AJ239" i="15" s="1"/>
  <c r="AB66" i="15"/>
  <c r="AJ66" i="15" s="1"/>
  <c r="AB111" i="15"/>
  <c r="AJ111" i="15" s="1"/>
  <c r="AB98" i="15"/>
  <c r="AJ98" i="15" s="1"/>
  <c r="AB195" i="15"/>
  <c r="AJ195" i="15" s="1"/>
  <c r="AB83" i="15"/>
  <c r="AJ83" i="15" s="1"/>
  <c r="AB258" i="15"/>
  <c r="AJ258" i="15" s="1"/>
  <c r="AB274" i="15"/>
  <c r="AJ274" i="15" s="1"/>
  <c r="AB156" i="15"/>
  <c r="AJ156" i="15" s="1"/>
  <c r="AB34" i="15"/>
  <c r="AJ34" i="15" s="1"/>
  <c r="AB175" i="15"/>
  <c r="AJ175" i="15" s="1"/>
  <c r="AB180" i="15"/>
  <c r="AJ180" i="15" s="1"/>
  <c r="AB306" i="15"/>
  <c r="AJ306" i="15" s="1"/>
  <c r="AB231" i="15"/>
  <c r="AJ231" i="15" s="1"/>
  <c r="AB58" i="15"/>
  <c r="AJ58" i="15" s="1"/>
  <c r="AB147" i="15"/>
  <c r="AJ147" i="15" s="1"/>
  <c r="AB97" i="15"/>
  <c r="AJ97" i="15" s="1"/>
  <c r="AB271" i="15"/>
  <c r="AJ271" i="15" s="1"/>
  <c r="AB99" i="15"/>
  <c r="AJ99" i="15" s="1"/>
  <c r="AB178" i="15"/>
  <c r="AJ178" i="15" s="1"/>
  <c r="AB52" i="15"/>
  <c r="AJ52" i="15" s="1"/>
  <c r="AB276" i="15"/>
  <c r="AJ276" i="15" s="1"/>
  <c r="AB103" i="15"/>
  <c r="AJ103" i="15" s="1"/>
  <c r="AB148" i="15"/>
  <c r="AJ148" i="15" s="1"/>
  <c r="AB321" i="15"/>
  <c r="AJ321" i="15" s="1"/>
  <c r="AB43" i="15"/>
  <c r="AJ43" i="15" s="1"/>
  <c r="AB119" i="15"/>
  <c r="AJ119" i="15" s="1"/>
  <c r="AB257" i="15"/>
  <c r="AJ257" i="15" s="1"/>
  <c r="AB325" i="15"/>
  <c r="AJ325" i="15" s="1"/>
  <c r="AB200" i="15"/>
  <c r="AJ200" i="15" s="1"/>
  <c r="AB174" i="15"/>
  <c r="AJ174" i="15" s="1"/>
  <c r="AB95" i="15"/>
  <c r="AJ95" i="15" s="1"/>
  <c r="AB233" i="15"/>
  <c r="AJ233" i="15" s="1"/>
  <c r="AB289" i="15"/>
  <c r="AJ289" i="15" s="1"/>
  <c r="AB164" i="15"/>
  <c r="AJ164" i="15" s="1"/>
  <c r="AB39" i="15"/>
  <c r="AJ39" i="15" s="1"/>
  <c r="AB86" i="15"/>
  <c r="AJ86" i="15" s="1"/>
  <c r="AB117" i="15"/>
  <c r="AJ117" i="15" s="1"/>
  <c r="AB320" i="15"/>
  <c r="AJ320" i="15" s="1"/>
  <c r="AB191" i="15"/>
  <c r="AJ191" i="15" s="1"/>
  <c r="AB287" i="15"/>
  <c r="AJ287" i="15" s="1"/>
  <c r="AB118" i="15"/>
  <c r="AJ118" i="15" s="1"/>
  <c r="R124" i="8"/>
  <c r="S124" i="8"/>
  <c r="S140" i="8"/>
  <c r="R53" i="8"/>
  <c r="S96" i="8"/>
  <c r="G138" i="8"/>
  <c r="F51" i="8"/>
  <c r="G94" i="8"/>
  <c r="F49" i="8"/>
  <c r="G136" i="8"/>
  <c r="G92" i="8"/>
  <c r="S131" i="8"/>
  <c r="R44" i="8"/>
  <c r="S87" i="8"/>
  <c r="L125" i="8"/>
  <c r="M125" i="8"/>
  <c r="R134" i="8"/>
  <c r="S134" i="8"/>
  <c r="L138" i="8"/>
  <c r="M138" i="8"/>
  <c r="AD144" i="8"/>
  <c r="AE144" i="8"/>
  <c r="X140" i="8"/>
  <c r="Y140" i="8"/>
  <c r="R137" i="8"/>
  <c r="S137" i="8"/>
  <c r="R119" i="8"/>
  <c r="S119" i="8"/>
  <c r="AD135" i="8"/>
  <c r="AE135" i="8"/>
  <c r="AD132" i="8"/>
  <c r="AE132" i="8"/>
  <c r="R130" i="8"/>
  <c r="S130" i="8"/>
  <c r="X127" i="8"/>
  <c r="Y127" i="8"/>
  <c r="X55" i="8"/>
  <c r="Y142" i="8"/>
  <c r="Y98" i="8"/>
  <c r="V59" i="8"/>
  <c r="X59" i="8" s="1"/>
  <c r="AD133" i="8"/>
  <c r="AE133" i="8"/>
  <c r="X118" i="8"/>
  <c r="Y118" i="8"/>
  <c r="X119" i="8"/>
  <c r="Y119" i="8"/>
  <c r="M132" i="8"/>
  <c r="G142" i="8"/>
  <c r="F55" i="8"/>
  <c r="G98" i="8"/>
  <c r="L129" i="8"/>
  <c r="M129" i="8"/>
  <c r="F121" i="8"/>
  <c r="G121" i="8"/>
  <c r="R143" i="8"/>
  <c r="S143" i="8"/>
  <c r="L131" i="8"/>
  <c r="M131" i="8"/>
  <c r="O42" i="2" l="1"/>
  <c r="O43" i="2"/>
  <c r="M42" i="2"/>
  <c r="G14" i="6"/>
  <c r="C6" i="18"/>
  <c r="M7" i="6" s="1"/>
  <c r="M10" i="6" s="1"/>
  <c r="AM103" i="8"/>
  <c r="AP103" i="8" s="1"/>
  <c r="AE120" i="8"/>
  <c r="AD120" i="8"/>
  <c r="AM104" i="8"/>
  <c r="AP104" i="8" s="1"/>
  <c r="F60" i="8"/>
  <c r="K9" i="8"/>
  <c r="R59" i="8"/>
  <c r="AM147" i="8"/>
  <c r="AP147" i="8" s="1"/>
  <c r="AM148" i="8"/>
  <c r="AP148" i="8" s="1"/>
  <c r="AK83" i="15"/>
  <c r="AK120" i="15"/>
  <c r="AK50" i="15"/>
  <c r="AK325" i="15"/>
  <c r="AK97" i="15"/>
  <c r="AK195" i="15"/>
  <c r="AK316" i="15"/>
  <c r="AK110" i="15"/>
  <c r="AK187" i="15"/>
  <c r="AK53" i="15"/>
  <c r="AK113" i="15"/>
  <c r="AK252" i="15"/>
  <c r="AK179" i="15"/>
  <c r="AK130" i="15"/>
  <c r="AK201" i="15"/>
  <c r="AK65" i="15"/>
  <c r="AK221" i="15"/>
  <c r="AK123" i="15"/>
  <c r="AK40" i="15"/>
  <c r="AK38" i="15"/>
  <c r="AK255" i="15"/>
  <c r="AK326" i="15"/>
  <c r="AK42" i="15"/>
  <c r="AK80" i="15"/>
  <c r="AK41" i="15"/>
  <c r="AK31" i="15"/>
  <c r="AK281" i="15"/>
  <c r="AK194" i="15"/>
  <c r="AK151" i="15"/>
  <c r="AK81" i="15"/>
  <c r="AK191" i="15"/>
  <c r="AK147" i="15"/>
  <c r="AK98" i="15"/>
  <c r="AK247" i="15"/>
  <c r="AK37" i="15"/>
  <c r="AK141" i="15"/>
  <c r="AK260" i="15"/>
  <c r="AK278" i="15"/>
  <c r="AK269" i="15"/>
  <c r="AK318" i="15"/>
  <c r="AK172" i="15"/>
  <c r="AK64" i="15"/>
  <c r="AK250" i="15"/>
  <c r="AK177" i="15"/>
  <c r="AK242" i="15"/>
  <c r="AK91" i="15"/>
  <c r="AK227" i="15"/>
  <c r="AK251" i="15"/>
  <c r="AK300" i="15"/>
  <c r="AK235" i="15"/>
  <c r="AK205" i="15"/>
  <c r="AK226" i="15"/>
  <c r="AK204" i="15"/>
  <c r="AK143" i="15"/>
  <c r="AK317" i="15"/>
  <c r="AK182" i="15"/>
  <c r="AK119" i="15"/>
  <c r="AK58" i="15"/>
  <c r="AK111" i="15"/>
  <c r="AK73" i="15"/>
  <c r="AK279" i="15"/>
  <c r="AK268" i="15"/>
  <c r="AK218" i="15"/>
  <c r="AK162" i="15"/>
  <c r="AK131" i="15"/>
  <c r="AK140" i="15"/>
  <c r="AK223" i="15"/>
  <c r="AK150" i="15"/>
  <c r="AK292" i="15"/>
  <c r="AK207" i="15"/>
  <c r="AK127" i="15"/>
  <c r="AK264" i="15"/>
  <c r="AK225" i="15"/>
  <c r="AK59" i="15"/>
  <c r="AK283" i="15"/>
  <c r="AK186" i="15"/>
  <c r="AK137" i="15"/>
  <c r="AK315" i="15"/>
  <c r="AK261" i="15"/>
  <c r="AK197" i="15"/>
  <c r="AK118" i="15"/>
  <c r="AK301" i="15"/>
  <c r="AK253" i="15"/>
  <c r="AK257" i="15"/>
  <c r="AK117" i="15"/>
  <c r="AK43" i="15"/>
  <c r="AK231" i="15"/>
  <c r="AK66" i="15"/>
  <c r="AK149" i="15"/>
  <c r="AK56" i="15"/>
  <c r="AK234" i="15"/>
  <c r="AK173" i="15"/>
  <c r="AK160" i="15"/>
  <c r="AK152" i="15"/>
  <c r="AK265" i="15"/>
  <c r="AK49" i="15"/>
  <c r="AK323" i="15"/>
  <c r="AK44" i="15"/>
  <c r="AK115" i="15"/>
  <c r="AK209" i="15"/>
  <c r="AK146" i="15"/>
  <c r="AK208" i="15"/>
  <c r="AK230" i="15"/>
  <c r="AK109" i="15"/>
  <c r="AK48" i="15"/>
  <c r="AK322" i="15"/>
  <c r="AK211" i="15"/>
  <c r="AK273" i="15"/>
  <c r="AK45" i="15"/>
  <c r="AK79" i="15"/>
  <c r="AK76" i="15"/>
  <c r="AK320" i="15"/>
  <c r="AK86" i="15"/>
  <c r="AK321" i="15"/>
  <c r="AK306" i="15"/>
  <c r="AK239" i="15"/>
  <c r="AK74" i="15"/>
  <c r="AK132" i="15"/>
  <c r="AK108" i="15"/>
  <c r="AK35" i="15"/>
  <c r="AK249" i="15"/>
  <c r="AK236" i="15"/>
  <c r="AK266" i="15"/>
  <c r="AK102" i="15"/>
  <c r="AK36" i="15"/>
  <c r="AK169" i="15"/>
  <c r="AK288" i="15"/>
  <c r="AK71" i="15"/>
  <c r="AK62" i="15"/>
  <c r="AK158" i="15"/>
  <c r="AK63" i="15"/>
  <c r="AK216" i="15"/>
  <c r="AK198" i="15"/>
  <c r="AK314" i="15"/>
  <c r="AK189" i="15"/>
  <c r="AK219" i="15"/>
  <c r="AK256" i="15"/>
  <c r="AK154" i="15"/>
  <c r="AK165" i="15"/>
  <c r="AK39" i="15"/>
  <c r="AK125" i="15"/>
  <c r="AK324" i="15"/>
  <c r="AK75" i="15"/>
  <c r="AK122" i="15"/>
  <c r="AK93" i="15"/>
  <c r="AK275" i="15"/>
  <c r="AK284" i="15"/>
  <c r="AK101" i="15"/>
  <c r="AK60" i="15"/>
  <c r="AK307" i="15"/>
  <c r="AK220" i="15"/>
  <c r="AK112" i="15"/>
  <c r="AK61" i="15"/>
  <c r="AK70" i="15"/>
  <c r="AK129" i="15"/>
  <c r="AK248" i="15"/>
  <c r="AK329" i="15"/>
  <c r="AK67" i="15"/>
  <c r="AK138" i="15"/>
  <c r="AK271" i="15"/>
  <c r="AK135" i="15"/>
  <c r="AK308" i="15"/>
  <c r="AK180" i="15"/>
  <c r="AK103" i="15"/>
  <c r="AK175" i="15"/>
  <c r="AK206" i="15"/>
  <c r="AK116" i="15"/>
  <c r="AK310" i="15"/>
  <c r="AK295" i="15"/>
  <c r="AK55" i="15"/>
  <c r="AK126" i="15"/>
  <c r="AK196" i="15"/>
  <c r="AK82" i="15"/>
  <c r="AK302" i="15"/>
  <c r="AK286" i="15"/>
  <c r="AK46" i="15"/>
  <c r="AK188" i="15"/>
  <c r="AK259" i="15"/>
  <c r="AK32" i="15"/>
  <c r="AK183" i="15"/>
  <c r="AK303" i="15"/>
  <c r="AK124" i="15"/>
  <c r="AK170" i="15"/>
  <c r="AK319" i="15"/>
  <c r="AK240" i="15"/>
  <c r="AK311" i="15"/>
  <c r="AK84" i="15"/>
  <c r="AK212" i="15"/>
  <c r="AK287" i="15"/>
  <c r="AK213" i="15"/>
  <c r="AK276" i="15"/>
  <c r="AK34" i="15"/>
  <c r="AK327" i="15"/>
  <c r="AK241" i="15"/>
  <c r="AK280" i="15"/>
  <c r="AK190" i="15"/>
  <c r="AK121" i="15"/>
  <c r="AK228" i="15"/>
  <c r="AK299" i="15"/>
  <c r="AK94" i="15"/>
  <c r="AK33" i="15"/>
  <c r="AK296" i="15"/>
  <c r="AK297" i="15"/>
  <c r="AK159" i="15"/>
  <c r="AK313" i="15"/>
  <c r="AK85" i="15"/>
  <c r="AK181" i="15"/>
  <c r="AK166" i="15"/>
  <c r="AK237" i="15"/>
  <c r="AK222" i="15"/>
  <c r="AK305" i="15"/>
  <c r="AK298" i="15"/>
  <c r="AK106" i="15"/>
  <c r="AK133" i="15"/>
  <c r="AK145" i="15"/>
  <c r="AK47" i="15"/>
  <c r="AK72" i="15"/>
  <c r="AK233" i="15"/>
  <c r="AK52" i="15"/>
  <c r="AK156" i="15"/>
  <c r="AK90" i="15"/>
  <c r="AK29" i="15"/>
  <c r="AK105" i="15"/>
  <c r="AK92" i="15"/>
  <c r="AK100" i="15"/>
  <c r="AK262" i="15"/>
  <c r="AK203" i="15"/>
  <c r="AK232" i="15"/>
  <c r="AK184" i="15"/>
  <c r="AK114" i="15"/>
  <c r="AK68" i="15"/>
  <c r="AK294" i="15"/>
  <c r="AK245" i="15"/>
  <c r="AK157" i="15"/>
  <c r="AK312" i="15"/>
  <c r="AK88" i="15"/>
  <c r="AK142" i="15"/>
  <c r="AK96" i="15"/>
  <c r="AK167" i="15"/>
  <c r="AK87" i="15"/>
  <c r="AK309" i="15"/>
  <c r="AK272" i="15"/>
  <c r="AK200" i="15"/>
  <c r="AK176" i="15"/>
  <c r="AK161" i="15"/>
  <c r="AK148" i="15"/>
  <c r="AK164" i="15"/>
  <c r="AK95" i="15"/>
  <c r="AK178" i="15"/>
  <c r="AK274" i="15"/>
  <c r="AK263" i="15"/>
  <c r="AK214" i="15"/>
  <c r="AK267" i="15"/>
  <c r="AK217" i="15"/>
  <c r="AK134" i="15"/>
  <c r="AK285" i="15"/>
  <c r="AK57" i="15"/>
  <c r="AK199" i="15"/>
  <c r="AK270" i="15"/>
  <c r="AK69" i="15"/>
  <c r="AK193" i="15"/>
  <c r="AK168" i="15"/>
  <c r="AK107" i="15"/>
  <c r="AK202" i="15"/>
  <c r="AK215" i="15"/>
  <c r="AK104" i="15"/>
  <c r="AK282" i="15"/>
  <c r="AK54" i="15"/>
  <c r="AK163" i="15"/>
  <c r="AK136" i="15"/>
  <c r="AK244" i="15"/>
  <c r="AK254" i="15"/>
  <c r="AK155" i="15"/>
  <c r="AK139" i="15"/>
  <c r="AK238" i="15"/>
  <c r="AK289" i="15"/>
  <c r="AK174" i="15"/>
  <c r="AK99" i="15"/>
  <c r="AK258" i="15"/>
  <c r="AK304" i="15"/>
  <c r="AK243" i="15"/>
  <c r="AK210" i="15"/>
  <c r="AK293" i="15"/>
  <c r="AK51" i="15"/>
  <c r="AK291" i="15"/>
  <c r="AK328" i="15"/>
  <c r="AK290" i="15"/>
  <c r="AK144" i="15"/>
  <c r="AK89" i="15"/>
  <c r="AK246" i="15"/>
  <c r="AK77" i="15"/>
  <c r="AK30" i="15"/>
  <c r="AK171" i="15"/>
  <c r="AK192" i="15"/>
  <c r="AK229" i="15"/>
  <c r="AK277" i="15"/>
  <c r="AK153" i="15"/>
  <c r="AK128" i="15"/>
  <c r="AK78" i="15"/>
  <c r="AK224" i="15"/>
  <c r="AK185" i="15"/>
  <c r="AJ28" i="15"/>
  <c r="AK28" i="15" s="1"/>
  <c r="D43" i="14"/>
  <c r="G43" i="14" s="1"/>
  <c r="D41" i="14" s="1"/>
  <c r="G41" i="14" s="1"/>
  <c r="J40" i="14" s="1"/>
  <c r="G27" i="14"/>
  <c r="G16" i="15"/>
  <c r="D15" i="14"/>
  <c r="G15" i="14" s="1"/>
  <c r="J14" i="14" s="1"/>
  <c r="V103" i="8"/>
  <c r="X103" i="8" s="1"/>
  <c r="D103" i="8"/>
  <c r="AB103" i="8"/>
  <c r="AD103" i="8" s="1"/>
  <c r="P147" i="8"/>
  <c r="K44" i="2" s="1"/>
  <c r="D147" i="8"/>
  <c r="J103" i="8"/>
  <c r="L103" i="8" s="1"/>
  <c r="P103" i="8"/>
  <c r="R103" i="8" s="1"/>
  <c r="E13" i="16"/>
  <c r="H13" i="16" s="1"/>
  <c r="V147" i="8"/>
  <c r="J147" i="8"/>
  <c r="AB147" i="8"/>
  <c r="AK5" i="17"/>
  <c r="AL5" i="17" s="1"/>
  <c r="K18" i="16" l="1"/>
  <c r="K16" i="16"/>
  <c r="K17" i="16"/>
  <c r="D31" i="14"/>
  <c r="G31" i="14" s="1"/>
  <c r="J34" i="14" s="1"/>
  <c r="J30" i="14"/>
  <c r="J43" i="14"/>
  <c r="F147" i="8"/>
  <c r="U9" i="8"/>
  <c r="H8" i="19" s="1"/>
  <c r="L9" i="6" s="1"/>
  <c r="F103" i="8"/>
  <c r="P9" i="8"/>
  <c r="J33" i="14"/>
  <c r="D19" i="14"/>
  <c r="G19" i="14" s="1"/>
  <c r="J17" i="14" s="1"/>
  <c r="J13" i="14"/>
  <c r="J29" i="14"/>
  <c r="J31" i="14"/>
  <c r="J32" i="14"/>
  <c r="J15" i="14"/>
  <c r="J28" i="14"/>
  <c r="R147" i="8"/>
  <c r="G44" i="2"/>
  <c r="AD147" i="8"/>
  <c r="O44" i="2"/>
  <c r="J42" i="14"/>
  <c r="J41" i="14"/>
  <c r="L147" i="8"/>
  <c r="I44" i="2"/>
  <c r="X147" i="8"/>
  <c r="M44" i="2"/>
  <c r="K14" i="16"/>
  <c r="E15" i="16"/>
  <c r="H15" i="16" s="1"/>
  <c r="K29" i="16" s="1"/>
  <c r="K13" i="16"/>
  <c r="K15" i="16"/>
  <c r="J15" i="15"/>
  <c r="J20" i="15"/>
  <c r="J27" i="14" l="1"/>
  <c r="C31" i="2"/>
  <c r="BS15" i="14"/>
  <c r="BQ14" i="14"/>
  <c r="A1" i="8"/>
  <c r="C7" i="18" s="1"/>
  <c r="L7" i="6" s="1"/>
  <c r="AG7" i="16"/>
  <c r="AB7" i="16" s="1"/>
  <c r="AC7" i="16" s="1"/>
  <c r="C15" i="17" l="1"/>
  <c r="L6" i="6" s="1"/>
  <c r="L10" i="6" s="1"/>
  <c r="D102" i="8"/>
  <c r="P5" i="8" s="1"/>
  <c r="D59" i="8"/>
  <c r="K5" i="8" s="1"/>
  <c r="K7" i="8" s="1"/>
  <c r="D146" i="8"/>
  <c r="U5" i="8" s="1"/>
  <c r="U7" i="8" s="1"/>
  <c r="E11" i="8" l="1"/>
  <c r="E13" i="8" s="1"/>
  <c r="J16" i="14" s="1"/>
  <c r="BQ13" i="14" s="1"/>
  <c r="F59" i="8"/>
  <c r="K8" i="8" s="1"/>
  <c r="F146" i="8"/>
  <c r="P7" i="8"/>
  <c r="F102" i="8"/>
  <c r="G42" i="2"/>
  <c r="C29" i="2" s="1"/>
  <c r="BR13" i="14" l="1"/>
  <c r="E12" i="8"/>
  <c r="E14" i="8" s="1"/>
  <c r="AY17" i="15" s="1"/>
  <c r="K6" i="8"/>
  <c r="U6" i="8"/>
  <c r="U8" i="8"/>
  <c r="BL12" i="14"/>
  <c r="BM12" i="14" s="1"/>
  <c r="P6" i="8"/>
  <c r="C8" i="19" s="1"/>
  <c r="G43" i="2"/>
  <c r="C30" i="2" s="1"/>
  <c r="P8" i="8"/>
  <c r="AZ19" i="15" s="1"/>
  <c r="D52" i="15"/>
  <c r="G52" i="15" s="1"/>
  <c r="J53" i="15" s="1"/>
  <c r="D39" i="15"/>
  <c r="G39" i="15" s="1"/>
  <c r="J38" i="15" s="1"/>
  <c r="E15" i="8" l="1"/>
  <c r="J39" i="15" s="1"/>
  <c r="BM15" i="14"/>
  <c r="AP20" i="15"/>
  <c r="F14" i="6"/>
  <c r="AP22" i="15"/>
  <c r="BM17" i="14"/>
  <c r="BY15" i="14"/>
  <c r="AU5" i="17"/>
  <c r="AT5" i="17"/>
  <c r="AM5" i="17" s="1"/>
  <c r="C5" i="17" s="1"/>
  <c r="AL7" i="16"/>
  <c r="AD7" i="16" s="1"/>
  <c r="D4" i="16" s="1"/>
  <c r="AZ17" i="15"/>
  <c r="J50" i="15"/>
  <c r="AU19" i="15" s="1"/>
  <c r="BV14" i="14"/>
  <c r="AY19" i="15"/>
  <c r="BW13" i="14"/>
  <c r="BX15" i="14"/>
  <c r="BV13" i="14"/>
  <c r="BN12" i="14" l="1"/>
  <c r="BM14" i="14" s="1"/>
  <c r="BM16" i="14" s="1"/>
  <c r="C8" i="14" s="1"/>
  <c r="F6" i="6" s="1"/>
  <c r="D7" i="16"/>
  <c r="D5" i="16"/>
  <c r="D6" i="16" s="1"/>
  <c r="H8" i="6" s="1"/>
  <c r="C8" i="17"/>
  <c r="C6" i="17"/>
  <c r="C7" i="17" s="1"/>
  <c r="H9" i="6" s="1"/>
  <c r="D17" i="15"/>
  <c r="G17" i="15" s="1"/>
  <c r="J22" i="15" s="1"/>
  <c r="AT17" i="15" s="1"/>
  <c r="AO16" i="15" s="1"/>
  <c r="AP16" i="15" s="1"/>
  <c r="BM18" i="14" l="1"/>
  <c r="C4" i="14" s="1"/>
  <c r="C7" i="14" s="1"/>
  <c r="G6" i="6" s="1"/>
  <c r="BA18" i="15"/>
  <c r="D8" i="16"/>
  <c r="F8" i="6" s="1"/>
  <c r="G8" i="6"/>
  <c r="C9" i="17"/>
  <c r="F9" i="6" s="1"/>
  <c r="G9" i="6"/>
  <c r="AQ16" i="15"/>
  <c r="C5" i="14" l="1"/>
  <c r="C6" i="14" s="1"/>
  <c r="H6" i="6" s="1"/>
  <c r="AP19" i="15"/>
  <c r="AP21" i="15" s="1"/>
  <c r="C8" i="15" s="1"/>
  <c r="F7" i="6" l="1"/>
  <c r="F10" i="6" s="1"/>
  <c r="J13" i="6" s="1"/>
  <c r="AP23" i="15"/>
  <c r="C4" i="15" l="1"/>
  <c r="C5" i="15" l="1"/>
  <c r="C7" i="15"/>
  <c r="G7" i="6" s="1"/>
  <c r="G10" i="6" s="1"/>
  <c r="C6" i="15" l="1"/>
  <c r="H7" i="6" s="1"/>
  <c r="H10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K7" authorId="0" shapeId="0" xr:uid="{D1E0E30C-3C4F-48EC-8C0E-E1E40F05C330}">
      <text>
        <r>
          <rPr>
            <sz val="9"/>
            <color indexed="81"/>
            <rFont val="Tahoma"/>
            <family val="2"/>
          </rPr>
          <t xml:space="preserve">Chainsaw and Cable yarder workers have different wages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C22" authorId="0" shapeId="0" xr:uid="{2181637A-A49C-451C-A2CE-8B78183CCD51}">
      <text>
        <r>
          <rPr>
            <b/>
            <sz val="11"/>
            <color indexed="81"/>
            <rFont val="Tahoma"/>
            <family val="2"/>
          </rPr>
          <t>Value range
0-1</t>
        </r>
      </text>
    </comment>
    <comment ref="C27" authorId="0" shapeId="0" xr:uid="{704715C5-125F-4CA7-8E6E-A6F1D5BEC54C}">
      <text>
        <r>
          <rPr>
            <b/>
            <sz val="11"/>
            <color indexed="81"/>
            <rFont val="Tahoma"/>
            <family val="2"/>
          </rPr>
          <t xml:space="preserve">Value range
1-7
</t>
        </r>
      </text>
    </comment>
    <comment ref="C41" authorId="0" shapeId="0" xr:uid="{93635415-3C7C-4302-AB02-B469DABB1C94}">
      <text>
        <r>
          <rPr>
            <b/>
            <sz val="11"/>
            <color indexed="81"/>
            <rFont val="Tahoma"/>
            <family val="2"/>
          </rPr>
          <t>Value range
1-7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C16" authorId="0" shapeId="0" xr:uid="{34002644-F674-4936-A48E-23B7EFD27D33}">
      <text>
        <r>
          <rPr>
            <b/>
            <sz val="11"/>
            <color indexed="81"/>
            <rFont val="Tahoma"/>
            <family val="2"/>
          </rPr>
          <t>Value range
2-17</t>
        </r>
      </text>
    </comment>
    <comment ref="J39" authorId="0" shapeId="0" xr:uid="{B5C68C60-DA41-4E94-A426-636B9766FC97}">
      <text>
        <r>
          <rPr>
            <b/>
            <sz val="9"/>
            <color indexed="81"/>
            <rFont val="Tahoma"/>
            <charset val="1"/>
          </rPr>
          <t>tons/PMH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D13" authorId="0" shapeId="0" xr:uid="{06D22F0F-D94F-44F7-AF29-FC002CEC198A}">
      <text>
        <r>
          <rPr>
            <b/>
            <sz val="11"/>
            <color indexed="81"/>
            <rFont val="Tahoma"/>
            <family val="2"/>
          </rPr>
          <t>Value range
0-6</t>
        </r>
      </text>
    </comment>
  </commentList>
</comments>
</file>

<file path=xl/sharedStrings.xml><?xml version="1.0" encoding="utf-8"?>
<sst xmlns="http://schemas.openxmlformats.org/spreadsheetml/2006/main" count="2052" uniqueCount="839">
  <si>
    <t>ThinCost_1.0</t>
  </si>
  <si>
    <t>Objectives</t>
  </si>
  <si>
    <t>This model estimates stump-to-market costs of harvesting and hauling logs and biomass in forest thinning operations.</t>
  </si>
  <si>
    <t>Assumptions</t>
  </si>
  <si>
    <t>1. This model uses green ton unit with 50% of moisture contents (wet basis) of logs, and users can change the moisture content in transportation for logs and biomass</t>
  </si>
  <si>
    <t>2. Wood product</t>
  </si>
  <si>
    <t>3. Biomass is not produced in CTL and TL harvesting methods, but small-diameter trees could be cut based on prescription in user input</t>
  </si>
  <si>
    <t>4. Default values used for variables in cycle time regression equations were defined and fixed in reported specific value in literature review</t>
  </si>
  <si>
    <t>Some key variables used in cycle time regression equations is replaced by proxy models developed based on literature review to estimate key variables from user input information</t>
  </si>
  <si>
    <t>5. Mechanized harvesting system is used in under 35% slope forest</t>
  </si>
  <si>
    <t>Cable yarding system could be used over 35% slope and assumed extraction uphill direction</t>
  </si>
  <si>
    <t>6. Cycle time adjustment factors for slope is used in felling and extraction machine</t>
  </si>
  <si>
    <t>How to use</t>
  </si>
  <si>
    <t>Very even</t>
  </si>
  <si>
    <t>Slightly even</t>
  </si>
  <si>
    <t>Uneven</t>
  </si>
  <si>
    <t>Rough</t>
  </si>
  <si>
    <t>Very rough</t>
  </si>
  <si>
    <t>Obstacle 
Height/Depth</t>
  </si>
  <si>
    <t>0-4</t>
  </si>
  <si>
    <t>&gt;4</t>
  </si>
  <si>
    <t xml:space="preserve">- Yellow blanks in the "User inputs" should be filled. </t>
  </si>
  <si>
    <t>1-4</t>
  </si>
  <si>
    <t>5-40</t>
  </si>
  <si>
    <t>&gt;40</t>
  </si>
  <si>
    <t>- User should input specific value or choose one option (ground slope (%), harvesting methods, small-end diameter (inch), log types, average extraction distance, surface roughness class)</t>
  </si>
  <si>
    <t>Log type' has two options including 'Sawlog only' and 'Pulpwood and sawlog</t>
  </si>
  <si>
    <t>Sawlog only' means that 9 inch or larger trees will be harvested for logs, and 'Pulpwood and sawlog' means 7 inch or larger trees will be harvested for logs</t>
  </si>
  <si>
    <t>&gt;1</t>
  </si>
  <si>
    <t>- User should select harvesting method before choose harvesting system (machines)</t>
  </si>
  <si>
    <t>(P.G. Mellgren, 1990)</t>
  </si>
  <si>
    <t>Drop down options in harvesting system are changed based on harvesting method</t>
  </si>
  <si>
    <t>- If biomass is not produced, user should choose "No" in the biomass harvesting in the WT, and chipper and grinder should be "None" in the options</t>
  </si>
  <si>
    <t>I</t>
  </si>
  <si>
    <t>- Thinning cost of each phase were calculated ($/ton, $/BDT, $/acre, and $/ccf)</t>
  </si>
  <si>
    <t xml:space="preserve">- Harvesting cost is calculated based on machines rate and productivity </t>
  </si>
  <si>
    <t>- The cost results were organized based on log harvesting, biomass production, and transportation</t>
  </si>
  <si>
    <t>- Biomass is free-ridden in the felling and extraction activity</t>
  </si>
  <si>
    <t>- User can apply $/PMH on the yellow blank, and it will be used for harvesting cost calculation</t>
  </si>
  <si>
    <t>- The common items in the machine rate calculation can be changed in 'User Input'</t>
  </si>
  <si>
    <t>- User can change the items in the yellow blank in the machine rate calculation part</t>
  </si>
  <si>
    <t>If user wants to change specific variables in the regression equations, fill the specific value in the yellow blank (User Input column), and it will override the value in default</t>
  </si>
  <si>
    <t>- Cycle time of each machine was calculated based on delay-free regression models and harvesting method</t>
  </si>
  <si>
    <t>- Each phase has specific variables in cycle time equations, and these variables were calculated automatically by proxy models, default value from literature reviews, or assumption</t>
  </si>
  <si>
    <t>- Productivity of loader producing biomass is the same with chipper's or grinder's</t>
  </si>
  <si>
    <t>Chipper and grinder productivity were averaged based on machine size</t>
  </si>
  <si>
    <t>-Machine size were classified by horse power (HP)</t>
  </si>
  <si>
    <t>Transportation machines were composed of log truck and chip van</t>
  </si>
  <si>
    <t>- User should apply yellow blanks that indicate machine speed (mph), distance (mile) in each road type, loading/unloading time, and loaded weight</t>
  </si>
  <si>
    <t>- Chip van information will not be used if user does not select biomass harvesting</t>
  </si>
  <si>
    <t>Tree volume is estimated automatically based on user input (prescription)</t>
  </si>
  <si>
    <t>- Total tons/acre of biomass and pulp wood + saw logs were used for harvesting cost of each phases ($/acre)</t>
  </si>
  <si>
    <t>Author</t>
  </si>
  <si>
    <r>
      <t>Heesol Chang</t>
    </r>
    <r>
      <rPr>
        <vertAlign val="superscript"/>
        <sz val="11"/>
        <color theme="1"/>
        <rFont val="Calibri"/>
        <family val="2"/>
        <scheme val="minor"/>
      </rPr>
      <t>1</t>
    </r>
  </si>
  <si>
    <t>Northern Arizona University</t>
  </si>
  <si>
    <t>Heesol.Chang@nau.edu</t>
  </si>
  <si>
    <r>
      <t>Han-Sup Han</t>
    </r>
    <r>
      <rPr>
        <vertAlign val="superscript"/>
        <sz val="11"/>
        <color theme="1"/>
        <rFont val="Calibri"/>
        <family val="2"/>
        <scheme val="minor"/>
      </rPr>
      <t>1</t>
    </r>
  </si>
  <si>
    <t>Han-Sup.Han@nau.edu</t>
  </si>
  <si>
    <r>
      <t>John Hogland</t>
    </r>
    <r>
      <rPr>
        <vertAlign val="superscript"/>
        <sz val="11"/>
        <color theme="1"/>
        <rFont val="Calibri"/>
        <family val="2"/>
        <scheme val="minor"/>
      </rPr>
      <t>2</t>
    </r>
  </si>
  <si>
    <t>US Forest Service</t>
  </si>
  <si>
    <t>john.s.hogland@usda.gov</t>
  </si>
  <si>
    <r>
      <t>Nathaniel Anderson</t>
    </r>
    <r>
      <rPr>
        <vertAlign val="superscript"/>
        <sz val="11"/>
        <color theme="1"/>
        <rFont val="Calibri"/>
        <family val="2"/>
        <scheme val="minor"/>
      </rPr>
      <t>2</t>
    </r>
  </si>
  <si>
    <t>nathaniel.m.anderson@usda.gov</t>
  </si>
  <si>
    <r>
      <t>Jeffrey Halbrook</t>
    </r>
    <r>
      <rPr>
        <vertAlign val="superscript"/>
        <sz val="11"/>
        <color theme="1"/>
        <rFont val="Calibri"/>
        <family val="2"/>
        <scheme val="minor"/>
      </rPr>
      <t>2</t>
    </r>
  </si>
  <si>
    <t>Jeffrey.Halbrook@usda.gov</t>
  </si>
  <si>
    <t>Aknowledgement</t>
  </si>
  <si>
    <t>Tabi Bolton</t>
  </si>
  <si>
    <t>Preston Green</t>
  </si>
  <si>
    <t>Definitions</t>
  </si>
  <si>
    <t>5. Bone dry ton (BDT): 2,000 pounds of biomass that is dried to less than one percent moisture content</t>
  </si>
  <si>
    <t>11. Merchantable tree refers to tree can producing sawlogs or pulpwood depening on user selection</t>
  </si>
  <si>
    <t>12. Wood product</t>
  </si>
  <si>
    <t>13. Road type</t>
  </si>
  <si>
    <t>Units used in this model</t>
  </si>
  <si>
    <t>PMH: productive machine hours</t>
  </si>
  <si>
    <t>SMH: scheduled machine hour</t>
  </si>
  <si>
    <t>ton: 2000 lbs of green ton</t>
  </si>
  <si>
    <t>BDT: bone dry ton</t>
  </si>
  <si>
    <t>TPA: trees per acre</t>
  </si>
  <si>
    <t>ccf: 100 cubic feet</t>
  </si>
  <si>
    <t>DBH: diameter at breast height (inch) based on outside bark</t>
  </si>
  <si>
    <t>DOB: diameter outside bark</t>
  </si>
  <si>
    <t>mph: miles per hour (traveling speed)</t>
  </si>
  <si>
    <t>HP: horse power</t>
  </si>
  <si>
    <t>Input variable &amp; Stand description</t>
  </si>
  <si>
    <t>User inputs</t>
  </si>
  <si>
    <t>Trees/ac</t>
  </si>
  <si>
    <t>Thinning Prescription</t>
  </si>
  <si>
    <t>Species</t>
  </si>
  <si>
    <t>Ponderosa pine</t>
  </si>
  <si>
    <t>Douglas-fir</t>
  </si>
  <si>
    <t xml:space="preserve">Incense cedar </t>
  </si>
  <si>
    <t>White fir</t>
  </si>
  <si>
    <t>Sugar pine</t>
  </si>
  <si>
    <t>Ground slope</t>
  </si>
  <si>
    <t>%</t>
  </si>
  <si>
    <t>DBH(inch)</t>
  </si>
  <si>
    <t>Pre-harvest</t>
  </si>
  <si>
    <t>Removed</t>
  </si>
  <si>
    <t>Harvesting methods</t>
  </si>
  <si>
    <t>Small-end diameter</t>
  </si>
  <si>
    <t>inch top (DOB)</t>
  </si>
  <si>
    <t>Log types</t>
  </si>
  <si>
    <t>Pulpwood + Sawlogs</t>
  </si>
  <si>
    <t>Average extraction distance</t>
  </si>
  <si>
    <t>ft</t>
  </si>
  <si>
    <t>Harvesting system</t>
  </si>
  <si>
    <t>Machine</t>
  </si>
  <si>
    <t>Feller-buncher (rubber-tired)</t>
  </si>
  <si>
    <t>(Self-leveling machine)</t>
  </si>
  <si>
    <t>No</t>
  </si>
  <si>
    <t>Skidder (rubber-tired)</t>
  </si>
  <si>
    <t>Processing</t>
  </si>
  <si>
    <t>Pull-thru delimber</t>
  </si>
  <si>
    <t>Loading</t>
  </si>
  <si>
    <t>Loader</t>
  </si>
  <si>
    <t>Transportation</t>
  </si>
  <si>
    <t>Truck</t>
  </si>
  <si>
    <t>Biomass harvesting in Whole Tree harvesting</t>
  </si>
  <si>
    <t>Yes</t>
  </si>
  <si>
    <t>Biomass</t>
  </si>
  <si>
    <t>Pre-harvest stand density</t>
  </si>
  <si>
    <t>(TPA)</t>
  </si>
  <si>
    <t>Post-harvest stand density</t>
  </si>
  <si>
    <t>(ft³/acre)</t>
  </si>
  <si>
    <t>(tons/acre)</t>
  </si>
  <si>
    <t>Stand density (TPA)</t>
  </si>
  <si>
    <t>Residual trees  (TPA)</t>
  </si>
  <si>
    <t>Roughness class</t>
  </si>
  <si>
    <t>leveling system</t>
  </si>
  <si>
    <t>Harvesting method</t>
  </si>
  <si>
    <t>inch top</t>
  </si>
  <si>
    <t>Target log tree</t>
  </si>
  <si>
    <t>Sawlogs only</t>
  </si>
  <si>
    <t>None</t>
  </si>
  <si>
    <t>Chainsaw</t>
  </si>
  <si>
    <t>Cable yarder</t>
  </si>
  <si>
    <t>Felling_WT</t>
  </si>
  <si>
    <t>Felling_CTL</t>
  </si>
  <si>
    <t>Felling_TL</t>
  </si>
  <si>
    <t>Extraction_WT</t>
  </si>
  <si>
    <t>Extraction_CTL</t>
  </si>
  <si>
    <t>Extraction_TL</t>
  </si>
  <si>
    <t>Felling</t>
  </si>
  <si>
    <t>Extraction</t>
  </si>
  <si>
    <t>Processor</t>
  </si>
  <si>
    <t>Harvester</t>
  </si>
  <si>
    <t>Forwarder</t>
  </si>
  <si>
    <t>Dangle-head processor</t>
  </si>
  <si>
    <t>Chipper&amp; Grinder</t>
  </si>
  <si>
    <t>Chip van</t>
  </si>
  <si>
    <t>Stump-to-Market Thinning Cost</t>
  </si>
  <si>
    <t>US unit</t>
  </si>
  <si>
    <t>Thinning Cost (Logs)
(Stump-to-Truck)</t>
  </si>
  <si>
    <t>Biomass Production Cost</t>
  </si>
  <si>
    <t>Machine type</t>
  </si>
  <si>
    <t>$/acre</t>
  </si>
  <si>
    <t>$/ton</t>
  </si>
  <si>
    <t>$/ccf</t>
  </si>
  <si>
    <t>$/BDT</t>
  </si>
  <si>
    <t>Chipping &amp;
 Grinding</t>
  </si>
  <si>
    <t>Total cost</t>
  </si>
  <si>
    <t>Total Cost</t>
  </si>
  <si>
    <t>Transportation Cost (Logs)</t>
  </si>
  <si>
    <t>/acre</t>
  </si>
  <si>
    <t>Machine Rates</t>
  </si>
  <si>
    <t>User Input</t>
  </si>
  <si>
    <t>Interest, Insurance and Taxes</t>
  </si>
  <si>
    <t>Maintenance and Repair</t>
  </si>
  <si>
    <t>Fuel cost</t>
  </si>
  <si>
    <t>$/gallon</t>
  </si>
  <si>
    <t xml:space="preserve">Wages </t>
  </si>
  <si>
    <t>$/SMH</t>
  </si>
  <si>
    <t>Benefits</t>
  </si>
  <si>
    <t>Machine Rate Summary ($/PMH)</t>
  </si>
  <si>
    <t>Chipping &amp; Grinding</t>
  </si>
  <si>
    <t>Cable Yarder</t>
  </si>
  <si>
    <t>Processor (pull thru+loader)</t>
  </si>
  <si>
    <t>$/PMH</t>
  </si>
  <si>
    <t xml:space="preserve">User Input </t>
  </si>
  <si>
    <t>Machine rate calculation</t>
  </si>
  <si>
    <t>P</t>
  </si>
  <si>
    <t>Purchasing price ($)</t>
  </si>
  <si>
    <t>S</t>
  </si>
  <si>
    <t>Salvage value ($)</t>
  </si>
  <si>
    <t>N</t>
  </si>
  <si>
    <t>Economic life (years)</t>
  </si>
  <si>
    <t>SMH</t>
  </si>
  <si>
    <t>Scheduled machine hours (hours)</t>
  </si>
  <si>
    <t>U</t>
  </si>
  <si>
    <t>Utilization (%)</t>
  </si>
  <si>
    <t>PMH</t>
  </si>
  <si>
    <t>Productive machine hours (hours)</t>
  </si>
  <si>
    <t>IIT</t>
  </si>
  <si>
    <t>Interest, Insurance and Taxes (%)</t>
  </si>
  <si>
    <t>MR</t>
  </si>
  <si>
    <t>Maintenance and Repair (%)</t>
  </si>
  <si>
    <t>FC1</t>
  </si>
  <si>
    <t>Fuel use rate coefficient (gal/hp-hr)</t>
  </si>
  <si>
    <t>FC2</t>
  </si>
  <si>
    <t>Horsepower</t>
  </si>
  <si>
    <t>Fuel cost ($/gallon)</t>
  </si>
  <si>
    <t>LC</t>
  </si>
  <si>
    <t>Lubricant consumption (%)</t>
  </si>
  <si>
    <t>W</t>
  </si>
  <si>
    <t>Wages ($/SMH)</t>
  </si>
  <si>
    <t>B</t>
  </si>
  <si>
    <t>Benefits (%)</t>
  </si>
  <si>
    <t>people</t>
  </si>
  <si>
    <t>FIXED COSTS</t>
  </si>
  <si>
    <t>D</t>
  </si>
  <si>
    <t>Interest, Insurances, Taxes</t>
  </si>
  <si>
    <t>AVI=((P-S)(N+1)/2N) +S</t>
  </si>
  <si>
    <t>I=(IIT*AVI)/100</t>
  </si>
  <si>
    <t>TF</t>
  </si>
  <si>
    <t>Total fixed costs=D+I</t>
  </si>
  <si>
    <t>VARIABLE COSTS</t>
  </si>
  <si>
    <t>M</t>
  </si>
  <si>
    <t>Maintenance and Repair = (MR*D in $/SMH)/U</t>
  </si>
  <si>
    <t>F</t>
  </si>
  <si>
    <t>Fuel and lubrication</t>
  </si>
  <si>
    <t>Fuel=FC1*FC2*fuel cost</t>
  </si>
  <si>
    <t>Lubricants=LC*Fuel</t>
  </si>
  <si>
    <t>Total (fuel+lub)</t>
  </si>
  <si>
    <t>TV</t>
  </si>
  <si>
    <t>Total variable costs=M+F</t>
  </si>
  <si>
    <t>LABOR COSTS</t>
  </si>
  <si>
    <t>L</t>
  </si>
  <si>
    <t>Wages + Benefits</t>
  </si>
  <si>
    <t>TOTAL COSTS</t>
  </si>
  <si>
    <t xml:space="preserve">T </t>
  </si>
  <si>
    <t>T=TF+TV+L</t>
  </si>
  <si>
    <t>Felling Machine Productivity and Cost</t>
  </si>
  <si>
    <t>Unit</t>
  </si>
  <si>
    <t>Cycle time for felling</t>
  </si>
  <si>
    <t>tons/cycle</t>
  </si>
  <si>
    <t>y = -0.4363x + 6.8601</t>
  </si>
  <si>
    <t>Productivity</t>
  </si>
  <si>
    <t>tons/PMH</t>
  </si>
  <si>
    <t>Cycle time (min/cycle)</t>
  </si>
  <si>
    <t>Cycles/PMH</t>
  </si>
  <si>
    <t>WT</t>
  </si>
  <si>
    <t>TL</t>
  </si>
  <si>
    <t>CTL</t>
  </si>
  <si>
    <t>DBH(in)</t>
  </si>
  <si>
    <t># of trees</t>
  </si>
  <si>
    <t>ccf/PMH</t>
  </si>
  <si>
    <t>Cost</t>
  </si>
  <si>
    <t>Feller-Buncher</t>
  </si>
  <si>
    <t>Felling productivity including biomass</t>
  </si>
  <si>
    <t>tons/pmh</t>
  </si>
  <si>
    <t>Gross weight per acre</t>
  </si>
  <si>
    <t>tons/acre</t>
  </si>
  <si>
    <t>Required time per acre</t>
  </si>
  <si>
    <t>PMH/acre</t>
  </si>
  <si>
    <t xml:space="preserve"> Input Value for Key Variables</t>
  </si>
  <si>
    <t>Regression equation to estimete an averge cycle time</t>
  </si>
  <si>
    <t>Round wood weight per acre</t>
  </si>
  <si>
    <t>Felling productivity round wood only</t>
  </si>
  <si>
    <t>Item</t>
  </si>
  <si>
    <t>Default</t>
  </si>
  <si>
    <t>Value/Formula</t>
  </si>
  <si>
    <t>Source</t>
  </si>
  <si>
    <t>Result</t>
  </si>
  <si>
    <t>Cycle time (min)</t>
  </si>
  <si>
    <t>Delay-free cycle time regression equation</t>
  </si>
  <si>
    <t>slope</t>
  </si>
  <si>
    <t>User input</t>
  </si>
  <si>
    <t>Twonsend et al.(2019)</t>
  </si>
  <si>
    <t>-2.207+0.1822(DBH)</t>
  </si>
  <si>
    <t>SQRT(43560/TPA))</t>
  </si>
  <si>
    <t>Kim (2017)</t>
  </si>
  <si>
    <t>Han et al.(2020)</t>
  </si>
  <si>
    <t>235.5+0.07(DBH)^2+6.34(DBT)+59.116ln(slope)+78.082(wedge)</t>
  </si>
  <si>
    <t>3.01+0.031(DBH)+0.243ln(DBT)+0.545(bucking)+0.298(wedge)</t>
  </si>
  <si>
    <t>Reference variables</t>
  </si>
  <si>
    <t>Kellogg et al. (1986)</t>
  </si>
  <si>
    <t>1.3286+0.0187(DBT)+0.0143(slope)+0.09868(TreeVol)+0.3541(species)+0.9019(cutter)-0.7820(wide)-0.6575(strip)</t>
  </si>
  <si>
    <t>Kellogg et al. (1996)</t>
  </si>
  <si>
    <t>-1.492+0.088(DBH)+0.728(#logs)+0.853(wedge)+1.054(site)+0.292(trt148)+0.523(trt247)</t>
  </si>
  <si>
    <t>species</t>
  </si>
  <si>
    <t>N/A</t>
  </si>
  <si>
    <t>0.586094+0.06247*(DBH)</t>
  </si>
  <si>
    <t>Adebayo et al. (2007)</t>
  </si>
  <si>
    <t>site</t>
  </si>
  <si>
    <t>wedge</t>
  </si>
  <si>
    <t>bucking</t>
  </si>
  <si>
    <t>DBH</t>
  </si>
  <si>
    <t>Slope</t>
  </si>
  <si>
    <t>Cycle time correction factor for feller-buncher and harvester</t>
  </si>
  <si>
    <t>No self-leveling</t>
  </si>
  <si>
    <t>Self-leveling</t>
  </si>
  <si>
    <t>Pan et al.(2008)</t>
  </si>
  <si>
    <t>1.336+0.379(DTT)+7.165(#trees)+0.315(ITD)+0.399(DTB)</t>
  </si>
  <si>
    <t>Slope,%</t>
  </si>
  <si>
    <t>Class</t>
  </si>
  <si>
    <t>Vitorelo et al.(2011)</t>
  </si>
  <si>
    <t>EXP(2.7644+0.1758(DTT)+0.314(DTB)+0.0941(#trees))</t>
  </si>
  <si>
    <t>≤10</t>
  </si>
  <si>
    <t>EXP(2.8623+0.3817LN(DTT)+0.096LN(DTB)+0.3441(#trees))</t>
  </si>
  <si>
    <t>11-20</t>
  </si>
  <si>
    <t>0.2709+0.1415(#trees)</t>
  </si>
  <si>
    <t>21-33</t>
  </si>
  <si>
    <t>DBT*(#trees-1)</t>
  </si>
  <si>
    <t>0.517+0.1079(#trees)</t>
  </si>
  <si>
    <t>34-50</t>
  </si>
  <si>
    <t>0.3864+0.0644(#trees)+0.206(DBT)</t>
  </si>
  <si>
    <t>&gt;50</t>
  </si>
  <si>
    <t>Largo &amp; Han (2004)</t>
  </si>
  <si>
    <t>15.36+12.58(#trees)+0.76(DBH)</t>
  </si>
  <si>
    <t>Halbrook &amp; Han (2005)</t>
  </si>
  <si>
    <t>0.191 + 0.017(travel dist) + 0.184(#trees) + 0.269(plots) + 0.181(draw)</t>
  </si>
  <si>
    <t>plots</t>
  </si>
  <si>
    <t>University of Montana (0), otherwise(1)</t>
  </si>
  <si>
    <t>draw</t>
  </si>
  <si>
    <t>volume</t>
  </si>
  <si>
    <t>-0.2274+0.1442(#stems)+0.0347(DBT)+0.0228(DBH)+0.1883(#logs/tree)</t>
  </si>
  <si>
    <t>-0.01408+0.224122(DBH)</t>
  </si>
  <si>
    <t>Kigwang (2018)</t>
  </si>
  <si>
    <t>{0.46278-0.0050899(DBT)-0.0012159(DBH)-0.0035958(#logs/tree)}^-5</t>
  </si>
  <si>
    <t>{0.42017-0.0029174(DBT)-0.002285(DBH)-0.0077407(#logs/tree)-0.0076267(#of top custs)}</t>
  </si>
  <si>
    <t>Drews et al. (2001)</t>
  </si>
  <si>
    <t>dead</t>
  </si>
  <si>
    <t>dead tree(1), live tree (0)</t>
  </si>
  <si>
    <t>down</t>
  </si>
  <si>
    <t>tree on the ground(1), stand tree (0)</t>
  </si>
  <si>
    <t>brush</t>
  </si>
  <si>
    <t>delay fraction</t>
  </si>
  <si>
    <t>yarder</t>
  </si>
  <si>
    <t>Extraction Machine Productivity and Cost</t>
  </si>
  <si>
    <r>
      <rPr>
        <b/>
        <u/>
        <sz val="16"/>
        <color theme="1"/>
        <rFont val="Calibri"/>
        <family val="2"/>
        <scheme val="minor"/>
      </rPr>
      <t>Note:</t>
    </r>
    <r>
      <rPr>
        <sz val="14"/>
        <color theme="1"/>
        <rFont val="Calibri"/>
        <family val="2"/>
        <scheme val="minor"/>
      </rPr>
      <t xml:space="preserve">
- ASD as loaded skidding distance and empty skidding distance
- In WT harvesting method, merchantable and un-merchantable trees are harvested, and only merchantable trees are harvested in TL and CTL harvesting method
- The results of machine productivity and cost are based on log production, which means biomass is free-ride in log producing process
- A proxy model for the forwarder cycle time estimation was developed based on reference models because of small number of regression models
- The results of machine productivity and cost are based on log producing, which means biomass is free-ride in harvesting log producing process-
- Delay-free cycle time: productive working time except any delays:
    Skidder: working time required to extract trees or logs from stump to landing including travels empty to bunch, grabbing, and travel loaded to landing
    Forwarder: working time required to extract logs from stump to landing including travels empty to log piles, loading, travel loaded to landing, and unloading
    Cable yarder: working time required to extract logs from wood to landing including move to logs, choking, move to landing, and un-choking</t>
    </r>
  </si>
  <si>
    <t>Skidder</t>
  </si>
  <si>
    <t>y = -0.6043x + 14.311</t>
  </si>
  <si>
    <t>Cycle time</t>
  </si>
  <si>
    <t># of logs/turn</t>
  </si>
  <si>
    <t>y = -9.4274x + 163.38</t>
  </si>
  <si>
    <t>adebayo, 2007</t>
  </si>
  <si>
    <t>For skidder in WT</t>
  </si>
  <si>
    <t>kellogg 1994</t>
  </si>
  <si>
    <t>Extraction productivity including biomass</t>
  </si>
  <si>
    <t>McNeel 1994</t>
  </si>
  <si>
    <t>Drews, 2001</t>
  </si>
  <si>
    <t>Kigwang</t>
  </si>
  <si>
    <t>2.8473+0.3132(ASD)+0.233(ASD)+0.0637(#trees)</t>
  </si>
  <si>
    <t>35.28+0.9841(ASD)+0.7559(ASD)</t>
  </si>
  <si>
    <t>(#trees)*(tree weight)</t>
  </si>
  <si>
    <t>0.2202+0.5264(ASD)+1.4310(#bunches)</t>
  </si>
  <si>
    <t>-0.2528+0.9310(ASD)+1.7108(#bunches)</t>
  </si>
  <si>
    <t>0.3626+1.1940(ASD)+1.3302(#bunches)</t>
  </si>
  <si>
    <t>195.24+1.71(ASD)-0.93(#trees)</t>
  </si>
  <si>
    <t>Spinelli&amp; Hartsough (2001)</t>
  </si>
  <si>
    <t>55.3+0.735(ASD)+76(#bunches)+13.8(tons/turn)+0.0379((ASD)*(tons/turn))</t>
  </si>
  <si>
    <t>-1.1524+2.8313(ASD)+0.9026(#bunches)</t>
  </si>
  <si>
    <t>SUMMARY OUTPUT</t>
  </si>
  <si>
    <t>log vol</t>
  </si>
  <si>
    <t>#log/tree</t>
  </si>
  <si>
    <t>AFD</t>
  </si>
  <si>
    <t>#logs/turn</t>
  </si>
  <si>
    <t>average</t>
  </si>
  <si>
    <t>Proxy model</t>
  </si>
  <si>
    <t>15.287+0.0129*(AFD)+0.2659*(#logs/turn)</t>
  </si>
  <si>
    <t>Regression Statistics</t>
  </si>
  <si>
    <t>y= 15.287+0.0129*(AFD)+0.2659*(#logs/turn)</t>
  </si>
  <si>
    <t>0.224122(DBH)-0.01408</t>
  </si>
  <si>
    <t>Multiple R</t>
  </si>
  <si>
    <t>R Square</t>
  </si>
  <si>
    <t>slope(%)</t>
  </si>
  <si>
    <t>Adjusted R Square</t>
  </si>
  <si>
    <t>Standard Error</t>
  </si>
  <si>
    <t>Reference</t>
  </si>
  <si>
    <t>Observations</t>
  </si>
  <si>
    <t>McNeel &amp; Rutherford (1994)</t>
  </si>
  <si>
    <t>20.3761+0.1734(DPs)+0.0244(DPr)-0.0125(AFD)+0.0135(AFD)</t>
  </si>
  <si>
    <t>1/((0.0003089+0.0000001165*(AFD)-0.0000003168*(LDT)-0.0000001696*(AFD)-0.000001496*(#logs))</t>
  </si>
  <si>
    <t>ANOVA</t>
  </si>
  <si>
    <t>714.1783+1.4775*(LDT)+3.5220*(AFD)+41.9165*(#logs)</t>
  </si>
  <si>
    <t>df</t>
  </si>
  <si>
    <t>SS</t>
  </si>
  <si>
    <t>MS</t>
  </si>
  <si>
    <t>Significance F</t>
  </si>
  <si>
    <t>LoadFraction</t>
  </si>
  <si>
    <t>Drews et al.(2001)</t>
  </si>
  <si>
    <t>(TravelEmptyOnRoad+TravelEmpty+TravelLoaded+Load+TravelInWoods+TravelLoadedOnRoad+Unload)*(1+DelayFraction)</t>
  </si>
  <si>
    <t>Regression</t>
  </si>
  <si>
    <r>
      <t>LogVolume (ft</t>
    </r>
    <r>
      <rPr>
        <sz val="11"/>
        <color theme="1"/>
        <rFont val="Calibri"/>
        <family val="2"/>
      </rPr>
      <t>³)</t>
    </r>
  </si>
  <si>
    <t>Avg sawlog Vol / (#logs/tree)</t>
  </si>
  <si>
    <t>Kellogg &amp; Bettinger (1994)</t>
  </si>
  <si>
    <r>
      <t xml:space="preserve">573.676-59.659(mixed)-122.810(pulp)+0.2707(Vol/load)-0.086(AFD)-0.062(trav)-0.042(AFD) </t>
    </r>
    <r>
      <rPr>
        <sz val="11"/>
        <color rgb="FFFF0000"/>
        <rFont val="Calibri"/>
        <family val="2"/>
        <scheme val="minor"/>
      </rPr>
      <t>(tons/PMH regression model)</t>
    </r>
  </si>
  <si>
    <t>Residual</t>
  </si>
  <si>
    <t>WoodDist (ft)</t>
  </si>
  <si>
    <t>Total</t>
  </si>
  <si>
    <t>RoadDist (ft)</t>
  </si>
  <si>
    <t>DelayFraction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</si>
  <si>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</si>
  <si>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</si>
  <si>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</si>
  <si>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</si>
  <si>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</si>
  <si>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</si>
  <si>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</si>
  <si>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mixed</t>
  </si>
  <si>
    <t>mixed load (1), pulp or sawlog only (0)</t>
  </si>
  <si>
    <t>Intercept</t>
  </si>
  <si>
    <t>pulp</t>
  </si>
  <si>
    <t>pulp only (1), mixed or sawlog only (0)</t>
  </si>
  <si>
    <t>Slope Classification</t>
  </si>
  <si>
    <t>Level</t>
  </si>
  <si>
    <t>Gentle</t>
  </si>
  <si>
    <t>Moderate</t>
  </si>
  <si>
    <t>Steep</t>
  </si>
  <si>
    <t>Very steep</t>
  </si>
  <si>
    <t>177.149+1.941(LD)+0.845(AYD)</t>
  </si>
  <si>
    <t>177.149+3.619(LD)+0.875(AYD)</t>
  </si>
  <si>
    <t>Kellogg &amp; Olsen (1984)</t>
  </si>
  <si>
    <t>1.3969+0.0039(AYD)+0.0178(LD)+0.4293(#logs)+0.0151(turnVol)-0.3814(choker setters)-0.0941(landing crew)</t>
  </si>
  <si>
    <t>2.3409+0.0056(AYD)+0.0387(LD)-0.7222(preset)+0.1906(#logs)+0.3341(span)+0.1697(damage)</t>
  </si>
  <si>
    <t>(#logs)*(Log volume)</t>
  </si>
  <si>
    <t>landing crew</t>
  </si>
  <si>
    <t>choker setters</t>
  </si>
  <si>
    <t>Cycle time Correction factor for Skidder and Forwarder</t>
  </si>
  <si>
    <t>preset</t>
  </si>
  <si>
    <t>Slope class</t>
  </si>
  <si>
    <t>damage</t>
  </si>
  <si>
    <t>span</t>
  </si>
  <si>
    <r>
      <t xml:space="preserve">multi span(1) </t>
    </r>
    <r>
      <rPr>
        <sz val="11"/>
        <color theme="1"/>
        <rFont val="Calibri"/>
        <family val="2"/>
      </rPr>
      <t>≥</t>
    </r>
    <r>
      <rPr>
        <sz val="11"/>
        <color theme="1"/>
        <rFont val="Calibri"/>
        <family val="2"/>
        <scheme val="minor"/>
      </rPr>
      <t>1000ft &gt; single span(0)</t>
    </r>
  </si>
  <si>
    <t>Roughness
Class</t>
  </si>
  <si>
    <t>Processing Machine Productivity and Cost</t>
  </si>
  <si>
    <r>
      <rPr>
        <b/>
        <u/>
        <sz val="16"/>
        <color theme="1"/>
        <rFont val="Calibri"/>
        <family val="2"/>
        <scheme val="minor"/>
      </rPr>
      <t>Note:</t>
    </r>
    <r>
      <rPr>
        <sz val="12"/>
        <color theme="1"/>
        <rFont val="Calibri"/>
        <family val="2"/>
        <scheme val="minor"/>
      </rPr>
      <t xml:space="preserve">
- Processor is not required in cut-to-length harvesting method</t>
    </r>
  </si>
  <si>
    <t>0.586094+0.06247(DBH)</t>
  </si>
  <si>
    <t>22.253-659.63(1/DBH)-141.8(1/cuts)+3003(1/(DBH*#logs/tree)+(species)</t>
  </si>
  <si>
    <t>EXP(4.128+0.109(#logs))</t>
  </si>
  <si>
    <t>#logs/tree +1</t>
  </si>
  <si>
    <t>(0.712+0.430(#logs/bunch))/bunch</t>
  </si>
  <si>
    <t>43.09+48.84(#logs)</t>
  </si>
  <si>
    <t>0.0466+0.0093(DBH)+0.114(large sawlogs)+0.0383(small sawlogs)</t>
  </si>
  <si>
    <t>0.0401+0.0185(DBH)+0.3812(large sawlogs)+0.0361(small sawlogs)</t>
  </si>
  <si>
    <t>-2.703-0.0403(DBH)+0.4331(large sawlogs)+0.2196(small sawlogs)</t>
  </si>
  <si>
    <t>Loading Machine Productivity and Cost (Log)</t>
  </si>
  <si>
    <r>
      <rPr>
        <b/>
        <sz val="16"/>
        <color theme="1"/>
        <rFont val="Calibri"/>
        <family val="2"/>
        <scheme val="minor"/>
      </rPr>
      <t>Notes:</t>
    </r>
    <r>
      <rPr>
        <sz val="11"/>
        <color theme="1"/>
        <rFont val="Calibri"/>
        <family val="2"/>
        <scheme val="minor"/>
      </rPr>
      <t xml:space="preserve">
- Loader is commonly used for loading in WT and TL, and forwarder is used in CTL
- Loading productivity calculation in WT and TL is combined and developed porxy model to estimate cycle time
- Loading productivity is estimated by proxy model that is developed based on literature review
- Loader productivity for biomass harvesting is the same with chipper &amp; grinder
- A proxy model for the loading cycle time estimation was developed based on reference models because of small number of regression models in CTL harvesting
- BDT unit is used for biomass </t>
    </r>
  </si>
  <si>
    <t>Loadercycle time</t>
  </si>
  <si>
    <t>WT/TL</t>
  </si>
  <si>
    <t>Loading Machine Productivity and Cost (Biomass)</t>
  </si>
  <si>
    <t>BDT/PMH</t>
  </si>
  <si>
    <t>1.159-0.03DBH</t>
  </si>
  <si>
    <t>MAX(1,8.104607-0.49219*(DBH))</t>
  </si>
  <si>
    <t>EXP(3.6021+0.228(#logs)+(branding))</t>
  </si>
  <si>
    <t>Hartsough and McNeel(1994)</t>
  </si>
  <si>
    <t>EXP(3.539+0.412(#logs))</t>
  </si>
  <si>
    <t>20.04+17.08(#logs)</t>
  </si>
  <si>
    <t>y=1.159-0.03DBH</t>
  </si>
  <si>
    <t>30.482+27.915(#logs)</t>
  </si>
  <si>
    <t>X Variable 1</t>
  </si>
  <si>
    <t>Adebayo (2007)</t>
  </si>
  <si>
    <t>Largo and Han.(2004)</t>
  </si>
  <si>
    <t>Halbrook and Han.(2005)</t>
  </si>
  <si>
    <t>Spinelli and Hartsough(2001)</t>
  </si>
  <si>
    <t>Bolding et al.(2009)</t>
  </si>
  <si>
    <t>Chipping &amp; Grinding Machine Productivity and Cost</t>
  </si>
  <si>
    <t>Machine Size and Productivity</t>
  </si>
  <si>
    <t>Chipper</t>
  </si>
  <si>
    <t>Size</t>
  </si>
  <si>
    <t>HP</t>
  </si>
  <si>
    <t>Production rate (BDT/PMH)</t>
  </si>
  <si>
    <t>Model</t>
  </si>
  <si>
    <t>Notes</t>
  </si>
  <si>
    <t>Bandit Model 3680 Beast Track</t>
  </si>
  <si>
    <t>cold</t>
  </si>
  <si>
    <t>Bandit Beast 3680</t>
  </si>
  <si>
    <t>hot</t>
  </si>
  <si>
    <t>Morbark 60/36 chipper</t>
  </si>
  <si>
    <t>Morbark 27RXL</t>
  </si>
  <si>
    <t>Morbark 27-inch disk chipper</t>
  </si>
  <si>
    <t>Peterson 4300B</t>
  </si>
  <si>
    <t>Peterson-Pacific 5000</t>
  </si>
  <si>
    <t>flail chipper</t>
  </si>
  <si>
    <t>Morbark disk chipper</t>
  </si>
  <si>
    <t>Grinder</t>
  </si>
  <si>
    <t>Note</t>
  </si>
  <si>
    <t>Vermeer HG6000TX</t>
  </si>
  <si>
    <t>Morbark 1200</t>
  </si>
  <si>
    <t>Peterson 4710</t>
  </si>
  <si>
    <t>Terex Ecotec 680</t>
  </si>
  <si>
    <t>Morbark 4600XL</t>
  </si>
  <si>
    <t>Peterson Pacific 5710C</t>
  </si>
  <si>
    <t>Logs</t>
  </si>
  <si>
    <t>Road type</t>
  </si>
  <si>
    <t>Speed (mph)</t>
  </si>
  <si>
    <t>Distance (miles)</t>
  </si>
  <si>
    <t>Time (hour)</t>
  </si>
  <si>
    <t>Removed Tree Volume/Weight Calculation</t>
  </si>
  <si>
    <t>Merchantable cut-tree description</t>
  </si>
  <si>
    <t>Total cut-trees per acre</t>
  </si>
  <si>
    <t>TPA</t>
  </si>
  <si>
    <t>0-inch top-diameter cutting</t>
  </si>
  <si>
    <t>4-inch top-diameter cutting</t>
  </si>
  <si>
    <t>6-inch top-diameter cutting</t>
  </si>
  <si>
    <t>Total stem wood volume</t>
  </si>
  <si>
    <t>Total log volume</t>
  </si>
  <si>
    <t>tons/ac</t>
  </si>
  <si>
    <t>Total log weight</t>
  </si>
  <si>
    <t>Average cut-tree height:</t>
  </si>
  <si>
    <t>Average stem wood volume</t>
  </si>
  <si>
    <r>
      <t>ft</t>
    </r>
    <r>
      <rPr>
        <sz val="11"/>
        <color theme="1"/>
        <rFont val="Calibri"/>
        <family val="2"/>
      </rPr>
      <t>³</t>
    </r>
    <r>
      <rPr>
        <sz val="11"/>
        <color theme="1"/>
        <rFont val="Calibri"/>
        <family val="2"/>
        <scheme val="minor"/>
      </rPr>
      <t>/tree</t>
    </r>
  </si>
  <si>
    <t>Average log volume</t>
  </si>
  <si>
    <r>
      <t>ft</t>
    </r>
    <r>
      <rPr>
        <sz val="11"/>
        <color theme="1"/>
        <rFont val="Calibri"/>
        <family val="2"/>
      </rPr>
      <t>³/tree</t>
    </r>
  </si>
  <si>
    <t>Average merchantable tree height</t>
  </si>
  <si>
    <t>Average stem wood weight</t>
  </si>
  <si>
    <t>tons/tree</t>
  </si>
  <si>
    <t>Average log weight</t>
  </si>
  <si>
    <t>Average cut-tree DBH</t>
  </si>
  <si>
    <t>in</t>
  </si>
  <si>
    <t>Total biomass (biomass+merchantable tree) weight</t>
  </si>
  <si>
    <t>Average merchantable tree DBH</t>
  </si>
  <si>
    <t>Total cut-volume per acre:</t>
  </si>
  <si>
    <r>
      <t>ft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/ac</t>
    </r>
  </si>
  <si>
    <t>Total green tons (removed) per acre:</t>
  </si>
  <si>
    <t>Average cut-tree volume:</t>
  </si>
  <si>
    <t xml:space="preserve"> </t>
  </si>
  <si>
    <t>Average cut-tree weight:</t>
  </si>
  <si>
    <t>Conversion factor (ton to ft3):</t>
  </si>
  <si>
    <t>Tree Volume/Weight Calculation</t>
  </si>
  <si>
    <t>Ponderosa Pine</t>
  </si>
  <si>
    <t>Incense-cedar</t>
  </si>
  <si>
    <t>Western white pine</t>
  </si>
  <si>
    <t>Tree cut</t>
  </si>
  <si>
    <t>Height</t>
  </si>
  <si>
    <t>Stem Volume</t>
  </si>
  <si>
    <t>Stem volume</t>
  </si>
  <si>
    <t>(Inch)</t>
  </si>
  <si>
    <t>(Trees/acre)</t>
  </si>
  <si>
    <t>(feet)</t>
  </si>
  <si>
    <t>(ft³/tree)</t>
  </si>
  <si>
    <t>Green ton</t>
  </si>
  <si>
    <t>Stem</t>
  </si>
  <si>
    <r>
      <t>ft</t>
    </r>
    <r>
      <rPr>
        <sz val="11"/>
        <color theme="1"/>
        <rFont val="Calibri"/>
        <family val="2"/>
      </rPr>
      <t>³</t>
    </r>
  </si>
  <si>
    <t>tons</t>
  </si>
  <si>
    <t>Log Length</t>
  </si>
  <si>
    <t>WT max</t>
  </si>
  <si>
    <t>min</t>
  </si>
  <si>
    <t xml:space="preserve">0.5ft </t>
  </si>
  <si>
    <t>trim allowance</t>
  </si>
  <si>
    <t>CTL max</t>
  </si>
  <si>
    <r>
      <t>(ft</t>
    </r>
    <r>
      <rPr>
        <sz val="11"/>
        <color theme="1"/>
        <rFont val="Calibri"/>
        <family val="2"/>
      </rPr>
      <t>³/tree</t>
    </r>
    <r>
      <rPr>
        <sz val="11"/>
        <color theme="1"/>
        <rFont val="Calibri"/>
        <family val="2"/>
        <scheme val="minor"/>
      </rPr>
      <t>)</t>
    </r>
  </si>
  <si>
    <r>
      <t>(ft</t>
    </r>
    <r>
      <rPr>
        <sz val="11"/>
        <color theme="1"/>
        <rFont val="Calibri"/>
        <family val="2"/>
      </rPr>
      <t>³/acre)</t>
    </r>
  </si>
  <si>
    <t>large log</t>
  </si>
  <si>
    <t>small log</t>
  </si>
  <si>
    <t>Large log</t>
  </si>
  <si>
    <t>Large log per tree</t>
  </si>
  <si>
    <t>Small log</t>
  </si>
  <si>
    <t>Small log per tree</t>
  </si>
  <si>
    <t>Bibliography</t>
  </si>
  <si>
    <t>Productivity and cost of whole-tree and tree-length harvesting in fuel reduction thinning treatments using cable yarding systems</t>
  </si>
  <si>
    <t>Han and Han</t>
  </si>
  <si>
    <t>Forest Science and Technology</t>
  </si>
  <si>
    <t>Cost and productivity of tethered cut-to-length systems in a dry-forest fuel-reduction treatment: A case study</t>
  </si>
  <si>
    <t>Petitmermet</t>
  </si>
  <si>
    <t>Forest Science</t>
  </si>
  <si>
    <t>Harvesting forest biomass in the US southern Rocky Mountains: cost and production rates of five ground-based forest operations</t>
  </si>
  <si>
    <t>Townsend et al.</t>
  </si>
  <si>
    <t>International Journal of Forest Engineering</t>
  </si>
  <si>
    <t>Productivity and cost of Cut-to-Length commercial thinning operations in a northern California redwood forest</t>
  </si>
  <si>
    <t>Thesis, Humboldt State University</t>
  </si>
  <si>
    <t>Productivity and cost of integrated harvesting for fuel reduction thinning in mixed-conifer forest</t>
  </si>
  <si>
    <t>Vitorelo et al.</t>
  </si>
  <si>
    <t>Forest Products Journal</t>
  </si>
  <si>
    <t>Productivity and costs of an integrated mechanical forest fuel reduction operation in southwest Oregon</t>
  </si>
  <si>
    <t>Bolding et al.</t>
  </si>
  <si>
    <t>Production and cost of harvesting, processing, and transporting small-diameter (≤ 5 inches) trees for energy</t>
  </si>
  <si>
    <t>Pan et al.</t>
  </si>
  <si>
    <t>Productivity and cost of cut-to-length and whole-tree harvesting in a mixed-conifer stand</t>
  </si>
  <si>
    <t>Adebayo et al.</t>
  </si>
  <si>
    <t>Costs and contraints of fuel reduction treatments in a recreational area</t>
  </si>
  <si>
    <t>Halbrook and Han</t>
  </si>
  <si>
    <t>Largo et al.</t>
  </si>
  <si>
    <t>Extracting whole short rotation trees with a skidder and a front-end loader</t>
  </si>
  <si>
    <t>Spinelli and Hartsough</t>
  </si>
  <si>
    <t>Biomass and Bioenergy</t>
  </si>
  <si>
    <t>Harvester-forwarder and harvester-yarder systems for fuel reduction treatments</t>
  </si>
  <si>
    <t>Drew et al.</t>
  </si>
  <si>
    <t>Journal of Forest Engineering</t>
  </si>
  <si>
    <t>Harvesting economics and wood fiber utilization in a fuels reduction project: A case study in eastern Oregon</t>
  </si>
  <si>
    <t>Brown and Kellogg</t>
  </si>
  <si>
    <t>A comparison of skyline harvesting costs for alternative commercial thinning prescriptions</t>
  </si>
  <si>
    <t>Kellogg et al.</t>
  </si>
  <si>
    <t>Comparison of mechanized systems for thinning ponderosa pine and mixed conifer stands</t>
  </si>
  <si>
    <t>Hartsough and McNeel</t>
  </si>
  <si>
    <t>Kellogg and Bettinger</t>
  </si>
  <si>
    <t>Modelling harvester-forwarder system performance in a selection harvest</t>
  </si>
  <si>
    <t>McNeel and Rutherford</t>
  </si>
  <si>
    <t>Production and cost comparison for three skyline thinning systems</t>
  </si>
  <si>
    <t>Hochain and Kellogg</t>
  </si>
  <si>
    <t>Western Journal of Applied Forestry</t>
  </si>
  <si>
    <t>Skyline thinning a western hemlock-Sitka spruce stand: harvesting costs and stand damage</t>
  </si>
  <si>
    <t>Oregon State University</t>
  </si>
  <si>
    <t>Is treetop skidding effective in reducing fuel loading?</t>
  </si>
  <si>
    <t>Tesch and Lysne</t>
  </si>
  <si>
    <t>Increasing the productivity of a small yarder: crew size, skidder swinging, hot thinning</t>
  </si>
  <si>
    <t>Host and Lowery</t>
  </si>
  <si>
    <t>Utah State University</t>
  </si>
  <si>
    <t>Adebayo</t>
  </si>
  <si>
    <t>logs/tree equation</t>
  </si>
  <si>
    <t>#of logs</t>
  </si>
  <si>
    <t>y=0.586094+0.06247x</t>
  </si>
  <si>
    <t>MAX(1,-0.43+0.678*SQRT(H42)</t>
  </si>
  <si>
    <t>y=-0.01408+0.224122x</t>
  </si>
  <si>
    <t>MAX(1,-0.43+0.678*SQRT(H42))*2</t>
  </si>
  <si>
    <t>Max( -0.4363(DBH) + 6.8601,1)</t>
  </si>
  <si>
    <r>
      <t>3.92034 + 0.006(ASD)+0.054(</t>
    </r>
    <r>
      <rPr>
        <sz val="11"/>
        <rFont val="Calibri"/>
        <family val="2"/>
        <scheme val="minor"/>
      </rPr>
      <t>RGD</t>
    </r>
    <r>
      <rPr>
        <sz val="11"/>
        <color theme="1"/>
        <rFont val="Calibri"/>
        <family val="2"/>
        <scheme val="minor"/>
      </rPr>
      <t>)+0.092(slope)</t>
    </r>
  </si>
  <si>
    <t>1.8202+0.0024(AYD)+0.00021(LD^2)+0.0125(turnVol)+0.0024(log angle)+0.0151(slope)</t>
  </si>
  <si>
    <t>1.8053+0.0135(AYD)+0.0226(LD)-0.4292(preset)+0.1273(#logs)+0.0118(slope)+0.1894(damage)</t>
  </si>
  <si>
    <t>Max(14.311-0.6043*(DBH),1)</t>
  </si>
  <si>
    <t>-9.4274(DBH) + 163.38</t>
  </si>
  <si>
    <t>Proxy model equation</t>
  </si>
  <si>
    <t>Coder (2017)</t>
  </si>
  <si>
    <t xml:space="preserve"> Processor</t>
  </si>
  <si>
    <t>Ground roughness class for extraction</t>
  </si>
  <si>
    <t>Adjustment factors for skidder and forwarder use Mellgren's adjustment factor(1990), and it used the ground slope and roughness classification developed by Mellgren's classification method</t>
  </si>
  <si>
    <t>Adjustment factors for feller-buncher and harvester use Mellgren's adjustment factor (1990), and it is classified depending on slope and self-leveling function</t>
  </si>
  <si>
    <t xml:space="preserve">ThinCost is a spreadtab-based model to estimate the cost of forest thinning operation, which is applicable across the western United States. </t>
  </si>
  <si>
    <t>- Input tab is composed of "User Inputs" and "Prescription"</t>
  </si>
  <si>
    <t>- In the Machine Rate tab, hourly costs of  machines ($/PMH and $/SMH) were calculated based on Brinker's equation</t>
  </si>
  <si>
    <t>Each phase of tab calculate machine productivity and cost for log production</t>
  </si>
  <si>
    <t>Whole-tree method (WT): felling trees with no processing at the stump</t>
  </si>
  <si>
    <t>Tree-length method (TL):  felling, delimbing, and top trees at the stump</t>
  </si>
  <si>
    <t>Cut-to-length method (CTL): felling, delimbing, and crosscutting trees at the stump. Chainsaw may be used for a CTL operation. In this thinning cost model, a chainsaw is not used for a CTL thinning cost analysis.</t>
  </si>
  <si>
    <t>2. Harvesting system: all machines used in a stump-to-truck harvesting operation, required by different harvesting methods.</t>
  </si>
  <si>
    <t>Felling: feller-buncher, harvester, chainsaw</t>
  </si>
  <si>
    <t>Extraction: skidder, cable-yarder, forwarder</t>
  </si>
  <si>
    <t>Loading: loader</t>
  </si>
  <si>
    <t>Fixed costs: costs incurred whether machine operates or not</t>
  </si>
  <si>
    <t>Variable costs: costs occurred only when machine operates</t>
  </si>
  <si>
    <t>8. Machine rate: hourly cost of machine ($/PMH or $/SMH)</t>
  </si>
  <si>
    <t>Labor costs: wages and benefits</t>
  </si>
  <si>
    <t>7. Small-end diameter: the diameter of the end of a tree not used for timber</t>
  </si>
  <si>
    <t>6. Cycle time: a time section of delay-free work that is repeated during the activity of a machine</t>
  </si>
  <si>
    <t>Transportation: chip van, truck</t>
  </si>
  <si>
    <t>Biomass: wood material that is chipped or grinded (less than 7 inches in DBH)</t>
  </si>
  <si>
    <t xml:space="preserve">Pulpwood: a wood product used in making pulp for paper, usually smaller than sawlogs (7 to 9 inches in DBH) </t>
  </si>
  <si>
    <t>Spur road: secondary roads that connect between primary extraction trail and landing area</t>
  </si>
  <si>
    <t>Unpaved forest road: primary roads that allow timber transportation</t>
  </si>
  <si>
    <t>Paved highway: public roads that connect cities and towns</t>
  </si>
  <si>
    <t>Freeway: express highways with free from pedestrians, private entrance ways, intersection, and grade interaction</t>
  </si>
  <si>
    <t>Chipper (small)</t>
  </si>
  <si>
    <t>Chipper (large)</t>
  </si>
  <si>
    <t>Grinder (small)</t>
  </si>
  <si>
    <t>Grinder (large)</t>
  </si>
  <si>
    <t>DBH (inch)</t>
  </si>
  <si>
    <t>4-12 inches</t>
  </si>
  <si>
    <t>12-20 inches</t>
  </si>
  <si>
    <t>20-28 inches</t>
  </si>
  <si>
    <t>28-35 inches</t>
  </si>
  <si>
    <t>&gt;35 inches</t>
  </si>
  <si>
    <r>
      <rPr>
        <b/>
        <sz val="16"/>
        <rFont val="Calibri"/>
        <family val="2"/>
        <scheme val="minor"/>
      </rPr>
      <t>Note:</t>
    </r>
    <r>
      <rPr>
        <sz val="11"/>
        <rFont val="Calibri"/>
        <family val="2"/>
        <scheme val="minor"/>
      </rPr>
      <t xml:space="preserve">
- This model calculates operational costs only
- Biomass (limbs, branches, tops, and non-merchantable trees) is free-ridden during saw-log tree harvesting activities (felling and extraction)
- This model does not include the following cost items:
       1. Machine move-in/out 
       2. Overhead
       3. Profit allowance
       4. Forest road and trail building and improvement
- $/BDT is used only for biomass production cost, and $/ton or $/ccf is used for log production cost
       1. BDT refers bone dry ton
       2. ton is used for green ton
       3. ccf refers 100 cubic feet</t>
    </r>
  </si>
  <si>
    <t>Skidder (track-based)</t>
  </si>
  <si>
    <t>Truck + Trailer for logs</t>
  </si>
  <si>
    <t>Chip van for biomass</t>
  </si>
  <si>
    <t xml:space="preserve">Depreciation (P-S)/N </t>
  </si>
  <si>
    <t>distance between tree (DBT, ft)</t>
  </si>
  <si>
    <t>Hemlock or Spruce (1), Douglas-fir (0)</t>
  </si>
  <si>
    <t>user input</t>
  </si>
  <si>
    <t>using yarder (1), using forwarder (0)</t>
  </si>
  <si>
    <t>Note:
- Information about harvested trees is based on user input
- Harvester and chainsaw cut-trees that described in "Thinning Prescription" in Input spread tab
- The results of machine productivity and cost are based on log producing, which means biomass is free-ride in harvesting log producing process
- Delay-free cycle time: productive working time except any delays
    Chainsaw: working time required for felling a tree including travel to tree, felling, limbing, and topping
    Feller-buncher: working time required for felling the number of trees including travels to trees, fellings, travels to bunch, and bunching
    Harvester: working time required for felling and processing a tree including travel a tree, felling, processing, and piling</t>
  </si>
  <si>
    <r>
      <rPr>
        <b/>
        <u/>
        <sz val="16"/>
        <color theme="1"/>
        <rFont val="Calibri"/>
        <family val="2"/>
        <scheme val="minor"/>
      </rPr>
      <t>Note:</t>
    </r>
    <r>
      <rPr>
        <sz val="11"/>
        <color theme="1"/>
        <rFont val="Calibri"/>
        <family val="2"/>
        <scheme val="minor"/>
      </rPr>
      <t xml:space="preserve">
-Utilization rates vary for different according to the machine type, and the current default values or selected from references 
-An user can override each machine rate ($/PMH) in the yellow blank (User Input)
-Each item in the machine rate calculation can be updated by an user 
-Machine purchase prices can be obtained from local equipment dealers and contractors
- Machine rate ($/PMH) calculations in chippers and grinders are based on used machines because machine price is too high and not stable when this model is developing</t>
    </r>
  </si>
  <si>
    <r>
      <rPr>
        <b/>
        <u/>
        <sz val="16"/>
        <color theme="1"/>
        <rFont val="Calibri"/>
        <family val="2"/>
        <scheme val="minor"/>
      </rPr>
      <t>Note:</t>
    </r>
    <r>
      <rPr>
        <sz val="11"/>
        <color theme="1"/>
        <rFont val="Calibri"/>
        <family val="2"/>
        <scheme val="minor"/>
      </rPr>
      <t xml:space="preserve">
- Machine productivities of chippers and grinders are classified based on horse power (HP)
</t>
    </r>
  </si>
  <si>
    <t>Transportation Cost (Biomass)</t>
  </si>
  <si>
    <t>Note
- Height-Diameter equation from Curtis (1967) and updated coefficients by  Temesgen et al.(2007) were used, and Zhang (1997) for white pine
- Stem volume equations that are used in this model are based on Zhou and Hemstrom (2010) and Vargas-Larreta et al. (2017)
- Biomass equations that are used in thiis model are based on Gholz et al. (1979)
- Volume-Weight conversion factor is based on specific gravity from David E. Kretschmann (2010)
- Assumed that round-wood tree is 7 inches or larger in DBH, and sawlog tree is 9 inches or larger in DBH
- User can select pulpwood tree or sawlog tree for log tree in the Input tab</t>
  </si>
  <si>
    <t>(Green ton)</t>
  </si>
  <si>
    <t>(ft)</t>
  </si>
  <si>
    <t>(trees/acre)</t>
  </si>
  <si>
    <t>(inch)</t>
  </si>
  <si>
    <t>tree cut</t>
  </si>
  <si>
    <t>height</t>
  </si>
  <si>
    <t>stem volume</t>
  </si>
  <si>
    <t>biomass</t>
  </si>
  <si>
    <t>Harvest volume of logs and biomass based on 1 foot stump height (felling) to 4-inch top diameter (cutting)</t>
  </si>
  <si>
    <t>Summary of total cut-tree volume</t>
  </si>
  <si>
    <t>Stem wood</t>
  </si>
  <si>
    <t>logs</t>
  </si>
  <si>
    <t>Harvest volume of logs and biomass based on 1 foot stump height (felling) to 6-inch top diameter (cutting)</t>
  </si>
  <si>
    <t>Total cut-tree volume based on 1 foot stump height (felling)</t>
  </si>
  <si>
    <t>Number</t>
  </si>
  <si>
    <t>Year of 
publication</t>
  </si>
  <si>
    <t>References used to calculate harvesting productivity in the model</t>
  </si>
  <si>
    <t>Salvage and thinning operations in second-growth Ponderosa pine stands</t>
  </si>
  <si>
    <t>Economics of an integrated whole-tree harvesting system in fuel reduction thinning in western Montana</t>
  </si>
  <si>
    <t>Council on Forest Engineering Meeting Proceedings</t>
  </si>
  <si>
    <t>American Society of Agricultural Engineers</t>
  </si>
  <si>
    <t>Forest Engineering Solutions in Response to Forest Regulation</t>
  </si>
  <si>
    <t>Author (year)</t>
  </si>
  <si>
    <t xml:space="preserve">Pulpwood: 7 inches or larger DBH except sawlog </t>
  </si>
  <si>
    <t>Sawlog: 9 inches or larger DBH</t>
  </si>
  <si>
    <t>Biomass: the rest after producing logs from trees or less than 7 inches DBH</t>
  </si>
  <si>
    <t>1. Harvesting method: Timber production methods classified according to the process carried out at the stump (whole-tree, tree-length, cut-to-length). Each harvesting method may have a different combination of harvesting machine options.</t>
  </si>
  <si>
    <t>3. Stump-to-truck: the process of forest harvesting before transportation including felling, extraction, processing, loading, and chipping</t>
  </si>
  <si>
    <t>Processing: processor</t>
  </si>
  <si>
    <t>Chipping &amp; grinding: chipper, grinder</t>
  </si>
  <si>
    <t>4. Stump-to-market: the process of forest harvesting from forest to mill including stump-to-truck and transportation</t>
  </si>
  <si>
    <t>PMH (productive machine hour): machine's working hours without delay time</t>
  </si>
  <si>
    <t>SMH (scheduled machine hour): machine's working hours including any form of delay time</t>
  </si>
  <si>
    <t>9. Machine productivity: harvested volume or weight per productive machine hour by machines (tons/PMH)</t>
  </si>
  <si>
    <t>10. Average extraction distance: an average distance of the one way trip</t>
  </si>
  <si>
    <t>Sawlog: a roundwood product that is suitable for sawing into lumber (9 inches or larger in DBH)</t>
  </si>
  <si>
    <t>Feller-buncher (track-based)</t>
  </si>
  <si>
    <t>Tree-length</t>
  </si>
  <si>
    <t>Whole-tree</t>
  </si>
  <si>
    <t>Cut-to-length</t>
  </si>
  <si>
    <t>Whole-tree felling</t>
  </si>
  <si>
    <t>Whole-tree Extraction</t>
  </si>
  <si>
    <t>wide treatment (wide)</t>
  </si>
  <si>
    <t>number of logs per tree  (#logs)</t>
  </si>
  <si>
    <t>cutter experience (cutter)</t>
  </si>
  <si>
    <t>wide treatment (1), narrow(0)</t>
  </si>
  <si>
    <t>Townsend et al. (2019)</t>
  </si>
  <si>
    <t>Han et al. (2020)</t>
  </si>
  <si>
    <t>tree volume estimation</t>
  </si>
  <si>
    <t>input</t>
  </si>
  <si>
    <t>assumption</t>
  </si>
  <si>
    <t>literature review</t>
  </si>
  <si>
    <t>yes(1), no(0)</t>
  </si>
  <si>
    <t>default</t>
  </si>
  <si>
    <t>least experience(1), most experience(0)</t>
  </si>
  <si>
    <t>unit difference</t>
  </si>
  <si>
    <t>Pan et al. (2008)</t>
  </si>
  <si>
    <t>Vitorelo et al. (2011)</t>
  </si>
  <si>
    <t>draw(1), no (0)</t>
  </si>
  <si>
    <t>number of trees per turn (#trees)</t>
  </si>
  <si>
    <t>number of logs per tree (#logs/tree)</t>
  </si>
  <si>
    <t>number of stems per cut (#stems)</t>
  </si>
  <si>
    <t>intermediate travel distance (ITD, ft)</t>
  </si>
  <si>
    <t>distance to bunch (DTB, ft)</t>
  </si>
  <si>
    <t>average skidding distance (ASD, ft)</t>
  </si>
  <si>
    <t>number of trees /turn (#trees)</t>
  </si>
  <si>
    <t>harvesting weight per turn (tons/turn)</t>
  </si>
  <si>
    <t>number of bunches per turn (#bunches)</t>
  </si>
  <si>
    <t>positioning distance (position, ft)</t>
  </si>
  <si>
    <t>re-grapple distance (RGD, ft)</t>
  </si>
  <si>
    <t>user defined ASD</t>
  </si>
  <si>
    <t>user</t>
  </si>
  <si>
    <t>estimation</t>
  </si>
  <si>
    <t>average forwarding distance (AFD, ft)</t>
  </si>
  <si>
    <t>user defined AFD</t>
  </si>
  <si>
    <t>travel  loading distance (LDT, ft)</t>
  </si>
  <si>
    <t>distance between log products (DPr, ft)</t>
  </si>
  <si>
    <t>distance between log piles (DPs, ft)</t>
  </si>
  <si>
    <t>number of logs/turn (#logs/turn)</t>
  </si>
  <si>
    <t>number of logs/tree (#logs/tree)</t>
  </si>
  <si>
    <t>yes(1) no(0)</t>
  </si>
  <si>
    <t>user defined AYD</t>
  </si>
  <si>
    <t>harvesting volume per turn (turnVol, ft³)</t>
  </si>
  <si>
    <t>number of chocker (#logs)</t>
  </si>
  <si>
    <t>lateral distance (LD, ft)</t>
  </si>
  <si>
    <t>average yarding distance (AYD, ft)</t>
  </si>
  <si>
    <t>number of trees/bunch (bunch)</t>
  </si>
  <si>
    <t>number of cuts (cuts)</t>
  </si>
  <si>
    <t>log tree DBH</t>
  </si>
  <si>
    <t>merchantable tree DBH</t>
  </si>
  <si>
    <t>branding (+0.2145), No (-0.2145)</t>
  </si>
  <si>
    <t>number of logs/turn (#logs)</t>
  </si>
  <si>
    <t>number of logs  per tree (#logs/tree)</t>
  </si>
  <si>
    <t>branding</t>
  </si>
  <si>
    <t>DBH of merchantable trees</t>
  </si>
  <si>
    <t>proxy model</t>
  </si>
  <si>
    <t>small</t>
  </si>
  <si>
    <t>large</t>
  </si>
  <si>
    <t>Pan et al (2008)</t>
  </si>
  <si>
    <t>Hartsough &amp; McNeel (1994)</t>
  </si>
  <si>
    <t>Bolding et al (2009)</t>
  </si>
  <si>
    <t>Drews et al (2001)</t>
  </si>
  <si>
    <t>Hanzelka et al (2016)</t>
  </si>
  <si>
    <t>Watson et al (1995)</t>
  </si>
  <si>
    <t>Harrill and Han (2012)</t>
  </si>
  <si>
    <t>Halbrook and Han (2005)</t>
  </si>
  <si>
    <t>Townsend et al (2019)</t>
  </si>
  <si>
    <t>Vitorelo et al (2011)</t>
  </si>
  <si>
    <t>Bisson et al (2016)</t>
  </si>
  <si>
    <t>moisture content</t>
  </si>
  <si>
    <t>loaded weight</t>
  </si>
  <si>
    <t>spur road</t>
  </si>
  <si>
    <t>unpaved forest road</t>
  </si>
  <si>
    <t>paved highway</t>
  </si>
  <si>
    <t>freeway</t>
  </si>
  <si>
    <t>loading/unloading time</t>
  </si>
  <si>
    <t>Thinning productivity and cost for a mechanized cut-to-length system in the northwest pacific coast region of the USA</t>
  </si>
  <si>
    <t>diameter at breast heights (DBH, inches)</t>
  </si>
  <si>
    <t>Ground roughness class for extraction
(33X33 ft plot)</t>
  </si>
  <si>
    <t xml:space="preserve">Chainsaw and cable yarder's adjustment factors are developed based on cycle time regression equations that have slope as a variable </t>
  </si>
  <si>
    <t>(chainsaw(WT)- Han et al.(2020), chainsaw(TL)- Kellogg et al. (1986), cable yarder(TL)- Kellogg et al. (1996) amd Kellogg et al. (1986))</t>
  </si>
  <si>
    <r>
      <t>ft</t>
    </r>
    <r>
      <rPr>
        <sz val="11"/>
        <color theme="1"/>
        <rFont val="Calibri"/>
        <family val="2"/>
      </rPr>
      <t>³</t>
    </r>
    <r>
      <rPr>
        <sz val="11"/>
        <color theme="1"/>
        <rFont val="Calibri"/>
        <family val="2"/>
        <scheme val="minor"/>
      </rPr>
      <t>/ac</t>
    </r>
  </si>
  <si>
    <t>ft³/ac</t>
  </si>
  <si>
    <r>
      <rPr>
        <b/>
        <sz val="14"/>
        <color theme="1"/>
        <rFont val="Calibri"/>
        <family val="2"/>
        <scheme val="minor"/>
      </rPr>
      <t xml:space="preserve">Notes: </t>
    </r>
    <r>
      <rPr>
        <sz val="11"/>
        <color theme="1"/>
        <rFont val="Calibri"/>
        <family val="2"/>
        <scheme val="minor"/>
      </rPr>
      <t xml:space="preserve">
- mph: miles per hour
- BDT: bone dry ton (% moisture content)
- Traveling times for loaded and empty travels are the same.
- A loaded weight/truck needs to be entered in green tons. The moisture content information should be entered in the Tree volume estimation tab.
- Loading/unloading time is including both loading and unloading time
- An user also needs to enter/update other cells (highlighted in yellow - travel speeds for different road types and loading/unloading time).
- Road type:
    Spur road: secondary roads that connect primary road and landing area
    Unpaved forest road: primary roads that allow timber transportation
    Paved highway: public roads that connect cities and towns
    Freeway: express highway with free from pedestrians, private entrance ways, and grade interaction
    </t>
    </r>
  </si>
  <si>
    <t>- Based on "small-end diameter" in user input, biomass and saw log volume were calculated, and they are used in each machine's production rate (tons/cycle)</t>
  </si>
  <si>
    <t>User should apply specific value or choose one option in the Input Tab</t>
  </si>
  <si>
    <t>Recommendations for the machine selection were in the "Model Flow Chart" Tab</t>
  </si>
  <si>
    <t>The results are displayed in the "Cost summary" Tab</t>
  </si>
  <si>
    <t xml:space="preserve">User can change or update machine rate ($/PMH) or items for machine rate calculation in the "Machine Rate" Tab </t>
  </si>
  <si>
    <t>- User should apply prescription information (Pre-harvest and removed trees) for this model</t>
  </si>
  <si>
    <t>- The result (machine productivity and cost) are calculated and showed in the top of each Tab</t>
  </si>
  <si>
    <t>- User can apply user's own value on specific variables that used in cycle time regression equation in each phase from Felling to the Loading Tab</t>
  </si>
  <si>
    <t>- Purchase price of each machine was updated based on 2021 value, but chipper and grinder's were updated based on used value.</t>
  </si>
  <si>
    <t>Regression equations to estimete an averge cycle time</t>
  </si>
  <si>
    <t>(DBT/TPM+brush+swing+fell+process)+(1+delayfraction)</t>
  </si>
  <si>
    <t>Total Stump-to-Market Thinning Cost</t>
  </si>
  <si>
    <t xml:space="preserve">Log volume </t>
  </si>
  <si>
    <t>Log weight</t>
  </si>
  <si>
    <t>Biomass weight (tons/acre)</t>
  </si>
  <si>
    <t>Log weight (tons/acre)</t>
  </si>
  <si>
    <t>Log volume (ft³/acre)</t>
  </si>
  <si>
    <t>Biomass weight</t>
  </si>
  <si>
    <t>Total round-trip time (hours)</t>
  </si>
  <si>
    <t>Loader (whole-tree &amp; tree-length)</t>
  </si>
  <si>
    <t>Loading (whole-tree &amp; tree-length)</t>
  </si>
  <si>
    <t>Loading (cut-to-length)</t>
  </si>
  <si>
    <t>Loader (cut-to-length)</t>
  </si>
  <si>
    <t>Ground roughness class for extraction (33 X 33 ft plot)</t>
  </si>
  <si>
    <t>Slope, %</t>
  </si>
  <si>
    <t>Extraction productivity round wood only</t>
  </si>
  <si>
    <t>Forwarder cycle time proxy model</t>
  </si>
  <si>
    <t>Random variables</t>
  </si>
  <si>
    <t>cycle time results from regression models</t>
  </si>
  <si>
    <t>Proxy model of the number of trees</t>
  </si>
  <si>
    <t>Proxy model of the number of logs per turn</t>
  </si>
  <si>
    <t>Chainsaw cycle time between slope and DBH in whole-tree harveting method</t>
  </si>
  <si>
    <t>Chainsaw cycle time between slope and DBH in tree-length harveting method</t>
  </si>
  <si>
    <t>Chainsaw cycle time increasement rate in whole-tree harvesting method</t>
  </si>
  <si>
    <t>Chainsaw cycle time increasement rate in tree-length harvesting method</t>
  </si>
  <si>
    <t>y = 6.6036x - 16.161</t>
  </si>
  <si>
    <t>Brown &amp; Kellogg (1996)</t>
  </si>
  <si>
    <t>6.6036(DBH)-16.161</t>
  </si>
  <si>
    <t>#of logs/turn</t>
  </si>
  <si>
    <t>Average</t>
  </si>
  <si>
    <t>Cycle times from regression models</t>
  </si>
  <si>
    <t>Proxy model of loader's productivity in whole-tree and tree-length harvesting method</t>
  </si>
  <si>
    <t>Proxy model of the number of trees in feller-buncher</t>
  </si>
  <si>
    <t>moving distance from bunch to tree (DTT, ft)</t>
  </si>
  <si>
    <t xml:space="preserve">                    Regression equations to estimate an average cycle time</t>
  </si>
  <si>
    <t>Scheduled machine hours (hours/year)</t>
  </si>
  <si>
    <t>Productive machine hours (hours/year)</t>
  </si>
  <si>
    <t>Maintenance and Repair (% of annual depreciation)</t>
  </si>
  <si>
    <t>CTL loading productivity proxy model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</si>
</sst>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0"/>
    <numFmt numFmtId="165" formatCode="0.0"/>
    <numFmt numFmtId="166" formatCode="_(* #,##0_);_(* \(#,##0\);_(* &quot;-&quot;??_);_(@_)"/>
    <numFmt numFmtId="167" formatCode="0.000"/>
    <numFmt numFmtId="168" formatCode="_(* #,##0.000_);_(* \(#,##0.000\);_(* &quot;-&quot;??_);_(@_)"/>
    <numFmt numFmtId="169" formatCode="_(&quot;$&quot;* #,##0_);_(&quot;$&quot;* \(#,##0\);_(&quot;$&quot;* &quot;-&quot;??_);_(@_)"/>
    <numFmt numFmtId="170" formatCode="_(* #,##0.0_);_(* \(#,##0.0\);_(* &quot;-&quot;??_);_(@_)"/>
  </numFmts>
  <fonts count="48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28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rgb="FF92D050"/>
      <name val="Calibri"/>
      <family val="2"/>
      <scheme val="minor"/>
    </font>
    <font>
      <sz val="11"/>
      <color theme="4" tint="0.79998168889431442"/>
      <name val="Calibri"/>
      <family val="2"/>
      <scheme val="minor"/>
    </font>
    <font>
      <sz val="11"/>
      <color theme="6" tint="0.59999389629810485"/>
      <name val="Calibri"/>
      <family val="2"/>
      <scheme val="minor"/>
    </font>
    <font>
      <sz val="11"/>
      <color theme="5" tint="0.59999389629810485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7" tint="0.3999755851924192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4"/>
      <name val="Calibri"/>
      <family val="2"/>
      <scheme val="minor"/>
    </font>
    <font>
      <b/>
      <sz val="14"/>
      <name val="Calibri"/>
      <family val="2"/>
      <scheme val="minor"/>
    </font>
    <font>
      <sz val="12"/>
      <color rgb="FF595959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22"/>
      <name val="Calibri"/>
      <family val="2"/>
      <scheme val="minor"/>
    </font>
    <font>
      <sz val="28"/>
      <name val="Calibri"/>
      <family val="2"/>
      <scheme val="minor"/>
    </font>
    <font>
      <sz val="36"/>
      <color theme="0"/>
      <name val="Calibri"/>
      <family val="2"/>
      <scheme val="minor"/>
    </font>
    <font>
      <b/>
      <sz val="18"/>
      <name val="Calibri"/>
      <family val="2"/>
      <scheme val="minor"/>
    </font>
    <font>
      <b/>
      <sz val="2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11"/>
      <color indexed="81"/>
      <name val="Tahoma"/>
      <family val="2"/>
    </font>
    <font>
      <sz val="10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2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indexed="81"/>
      <name val="Tahoma"/>
      <charset val="1"/>
    </font>
    <font>
      <b/>
      <sz val="9"/>
      <color rgb="FF595959"/>
      <name val="Calibri"/>
      <family val="2"/>
      <scheme val="minor"/>
    </font>
    <font>
      <sz val="11"/>
      <color rgb="FF595959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</fills>
  <borders count="8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43" fillId="0" borderId="0" applyNumberFormat="0" applyFill="0" applyBorder="0" applyAlignment="0" applyProtection="0"/>
  </cellStyleXfs>
  <cellXfs count="1131">
    <xf numFmtId="0" fontId="0" fillId="0" borderId="0" xfId="0"/>
    <xf numFmtId="0" fontId="0" fillId="0" borderId="3" xfId="0" applyBorder="1"/>
    <xf numFmtId="0" fontId="0" fillId="0" borderId="4" xfId="0" applyBorder="1"/>
    <xf numFmtId="9" fontId="0" fillId="0" borderId="0" xfId="1" applyFont="1" applyBorder="1"/>
    <xf numFmtId="2" fontId="0" fillId="0" borderId="0" xfId="0" applyNumberFormat="1"/>
    <xf numFmtId="2" fontId="0" fillId="0" borderId="4" xfId="0" applyNumberFormat="1" applyBorder="1"/>
    <xf numFmtId="2" fontId="3" fillId="3" borderId="0" xfId="0" applyNumberFormat="1" applyFont="1" applyFill="1"/>
    <xf numFmtId="2" fontId="3" fillId="3" borderId="4" xfId="0" applyNumberFormat="1" applyFont="1" applyFill="1" applyBorder="1"/>
    <xf numFmtId="0" fontId="3" fillId="3" borderId="0" xfId="0" applyFont="1" applyFill="1"/>
    <xf numFmtId="0" fontId="0" fillId="0" borderId="0" xfId="0" quotePrefix="1"/>
    <xf numFmtId="0" fontId="0" fillId="2" borderId="0" xfId="0" applyFill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4" borderId="21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10" xfId="0" applyFill="1" applyBorder="1"/>
    <xf numFmtId="0" fontId="0" fillId="8" borderId="21" xfId="0" applyFill="1" applyBorder="1" applyAlignment="1">
      <alignment horizontal="center"/>
    </xf>
    <xf numFmtId="0" fontId="0" fillId="9" borderId="9" xfId="0" applyFill="1" applyBorder="1" applyAlignment="1">
      <alignment horizontal="center"/>
    </xf>
    <xf numFmtId="0" fontId="0" fillId="9" borderId="21" xfId="0" applyFill="1" applyBorder="1" applyAlignment="1">
      <alignment horizontal="center"/>
    </xf>
    <xf numFmtId="0" fontId="0" fillId="10" borderId="9" xfId="0" applyFill="1" applyBorder="1" applyAlignment="1">
      <alignment horizontal="center"/>
    </xf>
    <xf numFmtId="0" fontId="0" fillId="10" borderId="21" xfId="0" applyFill="1" applyBorder="1" applyAlignment="1">
      <alignment horizontal="center"/>
    </xf>
    <xf numFmtId="0" fontId="3" fillId="0" borderId="0" xfId="0" applyFont="1"/>
    <xf numFmtId="0" fontId="0" fillId="12" borderId="0" xfId="0" applyFill="1"/>
    <xf numFmtId="0" fontId="0" fillId="12" borderId="0" xfId="0" applyFill="1" applyAlignment="1">
      <alignment horizontal="center"/>
    </xf>
    <xf numFmtId="0" fontId="3" fillId="12" borderId="0" xfId="0" applyFont="1" applyFill="1"/>
    <xf numFmtId="0" fontId="3" fillId="12" borderId="0" xfId="0" applyFont="1" applyFill="1" applyAlignment="1">
      <alignment horizontal="center"/>
    </xf>
    <xf numFmtId="1" fontId="0" fillId="0" borderId="0" xfId="0" applyNumberFormat="1"/>
    <xf numFmtId="165" fontId="0" fillId="0" borderId="0" xfId="0" applyNumberFormat="1"/>
    <xf numFmtId="2" fontId="0" fillId="0" borderId="10" xfId="0" applyNumberFormat="1" applyBorder="1"/>
    <xf numFmtId="0" fontId="0" fillId="8" borderId="0" xfId="0" applyFill="1"/>
    <xf numFmtId="44" fontId="0" fillId="0" borderId="0" xfId="3" applyFont="1"/>
    <xf numFmtId="0" fontId="0" fillId="0" borderId="7" xfId="0" applyBorder="1"/>
    <xf numFmtId="0" fontId="0" fillId="0" borderId="8" xfId="0" applyBorder="1"/>
    <xf numFmtId="9" fontId="0" fillId="2" borderId="0" xfId="1" applyFont="1" applyFill="1" applyBorder="1"/>
    <xf numFmtId="0" fontId="3" fillId="3" borderId="9" xfId="0" applyFont="1" applyFill="1" applyBorder="1"/>
    <xf numFmtId="2" fontId="3" fillId="3" borderId="10" xfId="0" applyNumberFormat="1" applyFont="1" applyFill="1" applyBorder="1"/>
    <xf numFmtId="0" fontId="0" fillId="0" borderId="6" xfId="0" applyBorder="1"/>
    <xf numFmtId="2" fontId="0" fillId="0" borderId="7" xfId="0" applyNumberFormat="1" applyBorder="1"/>
    <xf numFmtId="2" fontId="0" fillId="0" borderId="33" xfId="0" applyNumberFormat="1" applyBorder="1"/>
    <xf numFmtId="2" fontId="0" fillId="0" borderId="8" xfId="0" applyNumberFormat="1" applyBorder="1"/>
    <xf numFmtId="0" fontId="3" fillId="3" borderId="6" xfId="0" applyFont="1" applyFill="1" applyBorder="1"/>
    <xf numFmtId="0" fontId="3" fillId="3" borderId="7" xfId="0" applyFont="1" applyFill="1" applyBorder="1"/>
    <xf numFmtId="0" fontId="3" fillId="3" borderId="8" xfId="0" applyFont="1" applyFill="1" applyBorder="1"/>
    <xf numFmtId="44" fontId="3" fillId="4" borderId="1" xfId="3" applyFont="1" applyFill="1" applyBorder="1"/>
    <xf numFmtId="44" fontId="3" fillId="4" borderId="2" xfId="3" applyFont="1" applyFill="1" applyBorder="1"/>
    <xf numFmtId="44" fontId="3" fillId="4" borderId="34" xfId="3" applyFont="1" applyFill="1" applyBorder="1"/>
    <xf numFmtId="44" fontId="3" fillId="4" borderId="5" xfId="3" applyFont="1" applyFill="1" applyBorder="1"/>
    <xf numFmtId="44" fontId="0" fillId="8" borderId="0" xfId="3" applyFont="1" applyFill="1"/>
    <xf numFmtId="0" fontId="0" fillId="8" borderId="12" xfId="0" applyFill="1" applyBorder="1"/>
    <xf numFmtId="0" fontId="8" fillId="8" borderId="0" xfId="0" applyFont="1" applyFill="1"/>
    <xf numFmtId="0" fontId="5" fillId="8" borderId="0" xfId="0" applyFont="1" applyFill="1" applyAlignment="1">
      <alignment vertical="center"/>
    </xf>
    <xf numFmtId="0" fontId="0" fillId="2" borderId="0" xfId="0" applyFill="1" applyAlignment="1">
      <alignment horizontal="center"/>
    </xf>
    <xf numFmtId="0" fontId="0" fillId="2" borderId="10" xfId="0" applyFill="1" applyBorder="1" applyAlignment="1">
      <alignment horizontal="center"/>
    </xf>
    <xf numFmtId="0" fontId="0" fillId="15" borderId="0" xfId="0" applyFill="1"/>
    <xf numFmtId="0" fontId="11" fillId="5" borderId="16" xfId="0" applyFont="1" applyFill="1" applyBorder="1" applyAlignment="1">
      <alignment horizontal="center" vertical="center"/>
    </xf>
    <xf numFmtId="0" fontId="0" fillId="4" borderId="17" xfId="0" applyFill="1" applyBorder="1" applyAlignment="1">
      <alignment horizontal="center"/>
    </xf>
    <xf numFmtId="0" fontId="0" fillId="4" borderId="22" xfId="0" applyFill="1" applyBorder="1" applyAlignment="1">
      <alignment horizontal="center"/>
    </xf>
    <xf numFmtId="0" fontId="0" fillId="8" borderId="22" xfId="0" applyFill="1" applyBorder="1" applyAlignment="1">
      <alignment horizontal="center"/>
    </xf>
    <xf numFmtId="0" fontId="0" fillId="9" borderId="17" xfId="0" applyFill="1" applyBorder="1" applyAlignment="1">
      <alignment horizontal="center"/>
    </xf>
    <xf numFmtId="0" fontId="0" fillId="9" borderId="22" xfId="0" applyFill="1" applyBorder="1" applyAlignment="1">
      <alignment horizontal="center"/>
    </xf>
    <xf numFmtId="0" fontId="0" fillId="10" borderId="1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10" xfId="0" applyFill="1" applyBorder="1" applyAlignment="1">
      <alignment horizontal="center"/>
    </xf>
    <xf numFmtId="0" fontId="0" fillId="8" borderId="10" xfId="0" applyFill="1" applyBorder="1" applyAlignment="1">
      <alignment horizontal="center"/>
    </xf>
    <xf numFmtId="0" fontId="0" fillId="9" borderId="0" xfId="0" applyFill="1" applyAlignment="1">
      <alignment horizontal="center"/>
    </xf>
    <xf numFmtId="0" fontId="0" fillId="9" borderId="10" xfId="0" applyFill="1" applyBorder="1" applyAlignment="1">
      <alignment horizontal="center"/>
    </xf>
    <xf numFmtId="0" fontId="0" fillId="10" borderId="0" xfId="0" applyFill="1" applyAlignment="1">
      <alignment horizontal="center"/>
    </xf>
    <xf numFmtId="166" fontId="0" fillId="11" borderId="0" xfId="2" applyNumberFormat="1" applyFont="1" applyFill="1" applyBorder="1"/>
    <xf numFmtId="1" fontId="0" fillId="4" borderId="0" xfId="0" applyNumberFormat="1" applyFill="1" applyAlignment="1">
      <alignment horizontal="center" vertical="center"/>
    </xf>
    <xf numFmtId="1" fontId="0" fillId="8" borderId="9" xfId="0" applyNumberFormat="1" applyFill="1" applyBorder="1" applyAlignment="1">
      <alignment horizontal="center" vertical="center"/>
    </xf>
    <xf numFmtId="1" fontId="0" fillId="8" borderId="0" xfId="0" applyNumberFormat="1" applyFill="1" applyAlignment="1">
      <alignment horizontal="center" vertical="center"/>
    </xf>
    <xf numFmtId="1" fontId="0" fillId="8" borderId="10" xfId="0" applyNumberFormat="1" applyFill="1" applyBorder="1" applyAlignment="1">
      <alignment horizontal="center" vertical="center"/>
    </xf>
    <xf numFmtId="1" fontId="0" fillId="9" borderId="9" xfId="0" applyNumberFormat="1" applyFill="1" applyBorder="1" applyAlignment="1">
      <alignment horizontal="center" vertical="center"/>
    </xf>
    <xf numFmtId="1" fontId="0" fillId="9" borderId="0" xfId="0" applyNumberFormat="1" applyFill="1" applyAlignment="1">
      <alignment horizontal="center" vertical="center"/>
    </xf>
    <xf numFmtId="1" fontId="0" fillId="10" borderId="9" xfId="0" applyNumberFormat="1" applyFill="1" applyBorder="1" applyAlignment="1">
      <alignment horizontal="center" vertical="center"/>
    </xf>
    <xf numFmtId="1" fontId="0" fillId="10" borderId="0" xfId="0" applyNumberFormat="1" applyFill="1" applyAlignment="1">
      <alignment horizontal="center" vertical="center"/>
    </xf>
    <xf numFmtId="1" fontId="0" fillId="4" borderId="17" xfId="0" applyNumberFormat="1" applyFill="1" applyBorder="1" applyAlignment="1">
      <alignment horizontal="center" vertical="center"/>
    </xf>
    <xf numFmtId="1" fontId="0" fillId="8" borderId="21" xfId="0" applyNumberFormat="1" applyFill="1" applyBorder="1" applyAlignment="1">
      <alignment horizontal="center" vertical="center"/>
    </xf>
    <xf numFmtId="1" fontId="0" fillId="8" borderId="17" xfId="0" applyNumberFormat="1" applyFill="1" applyBorder="1" applyAlignment="1">
      <alignment horizontal="center" vertical="center"/>
    </xf>
    <xf numFmtId="1" fontId="0" fillId="9" borderId="21" xfId="0" applyNumberFormat="1" applyFill="1" applyBorder="1" applyAlignment="1">
      <alignment horizontal="center" vertical="center"/>
    </xf>
    <xf numFmtId="1" fontId="0" fillId="9" borderId="17" xfId="0" applyNumberFormat="1" applyFill="1" applyBorder="1" applyAlignment="1">
      <alignment horizontal="center" vertical="center"/>
    </xf>
    <xf numFmtId="1" fontId="0" fillId="10" borderId="21" xfId="0" applyNumberFormat="1" applyFill="1" applyBorder="1" applyAlignment="1">
      <alignment horizontal="center" vertical="center"/>
    </xf>
    <xf numFmtId="1" fontId="0" fillId="10" borderId="17" xfId="0" applyNumberFormat="1" applyFill="1" applyBorder="1" applyAlignment="1">
      <alignment horizontal="center" vertical="center"/>
    </xf>
    <xf numFmtId="1" fontId="0" fillId="4" borderId="3" xfId="0" applyNumberFormat="1" applyFill="1" applyBorder="1" applyAlignment="1">
      <alignment horizontal="center" vertical="center"/>
    </xf>
    <xf numFmtId="1" fontId="0" fillId="4" borderId="12" xfId="0" applyNumberFormat="1" applyFill="1" applyBorder="1" applyAlignment="1">
      <alignment horizontal="center" vertical="center"/>
    </xf>
    <xf numFmtId="1" fontId="0" fillId="8" borderId="11" xfId="0" applyNumberFormat="1" applyFill="1" applyBorder="1" applyAlignment="1">
      <alignment horizontal="center" vertical="center"/>
    </xf>
    <xf numFmtId="1" fontId="0" fillId="8" borderId="3" xfId="0" applyNumberFormat="1" applyFill="1" applyBorder="1" applyAlignment="1">
      <alignment horizontal="center" vertical="center"/>
    </xf>
    <xf numFmtId="1" fontId="0" fillId="8" borderId="12" xfId="0" applyNumberFormat="1" applyFill="1" applyBorder="1" applyAlignment="1">
      <alignment horizontal="center" vertical="center"/>
    </xf>
    <xf numFmtId="1" fontId="0" fillId="9" borderId="11" xfId="0" applyNumberFormat="1" applyFill="1" applyBorder="1" applyAlignment="1">
      <alignment horizontal="center" vertical="center"/>
    </xf>
    <xf numFmtId="1" fontId="0" fillId="9" borderId="3" xfId="0" applyNumberFormat="1" applyFill="1" applyBorder="1" applyAlignment="1">
      <alignment horizontal="center" vertical="center"/>
    </xf>
    <xf numFmtId="1" fontId="0" fillId="9" borderId="12" xfId="0" applyNumberFormat="1" applyFill="1" applyBorder="1" applyAlignment="1">
      <alignment horizontal="center" vertical="center"/>
    </xf>
    <xf numFmtId="1" fontId="0" fillId="10" borderId="11" xfId="0" applyNumberFormat="1" applyFill="1" applyBorder="1" applyAlignment="1">
      <alignment horizontal="center" vertical="center"/>
    </xf>
    <xf numFmtId="1" fontId="0" fillId="10" borderId="3" xfId="0" applyNumberFormat="1" applyFill="1" applyBorder="1" applyAlignment="1">
      <alignment horizontal="center" vertical="center"/>
    </xf>
    <xf numFmtId="1" fontId="12" fillId="4" borderId="0" xfId="0" applyNumberFormat="1" applyFont="1" applyFill="1" applyAlignment="1">
      <alignment horizontal="center" vertical="center"/>
    </xf>
    <xf numFmtId="1" fontId="13" fillId="8" borderId="0" xfId="0" applyNumberFormat="1" applyFont="1" applyFill="1" applyAlignment="1">
      <alignment horizontal="center" vertical="center"/>
    </xf>
    <xf numFmtId="1" fontId="14" fillId="9" borderId="0" xfId="0" applyNumberFormat="1" applyFont="1" applyFill="1" applyAlignment="1">
      <alignment horizontal="center" vertical="center"/>
    </xf>
    <xf numFmtId="1" fontId="15" fillId="10" borderId="0" xfId="0" applyNumberFormat="1" applyFont="1" applyFill="1" applyAlignment="1">
      <alignment horizontal="center" vertical="center"/>
    </xf>
    <xf numFmtId="166" fontId="0" fillId="0" borderId="0" xfId="2" applyNumberFormat="1" applyFont="1" applyBorder="1"/>
    <xf numFmtId="2" fontId="0" fillId="9" borderId="32" xfId="0" applyNumberFormat="1" applyFill="1" applyBorder="1"/>
    <xf numFmtId="1" fontId="0" fillId="9" borderId="32" xfId="0" applyNumberFormat="1" applyFill="1" applyBorder="1"/>
    <xf numFmtId="166" fontId="0" fillId="9" borderId="32" xfId="2" applyNumberFormat="1" applyFont="1" applyFill="1" applyBorder="1"/>
    <xf numFmtId="1" fontId="10" fillId="4" borderId="0" xfId="0" applyNumberFormat="1" applyFont="1" applyFill="1" applyAlignment="1">
      <alignment horizontal="center" vertical="center"/>
    </xf>
    <xf numFmtId="2" fontId="0" fillId="2" borderId="0" xfId="0" applyNumberFormat="1" applyFill="1"/>
    <xf numFmtId="166" fontId="0" fillId="2" borderId="0" xfId="2" applyNumberFormat="1" applyFont="1" applyFill="1" applyBorder="1"/>
    <xf numFmtId="166" fontId="0" fillId="2" borderId="36" xfId="2" applyNumberFormat="1" applyFont="1" applyFill="1" applyBorder="1"/>
    <xf numFmtId="0" fontId="0" fillId="0" borderId="36" xfId="0" applyBorder="1"/>
    <xf numFmtId="0" fontId="0" fillId="2" borderId="36" xfId="0" applyFill="1" applyBorder="1"/>
    <xf numFmtId="9" fontId="0" fillId="2" borderId="36" xfId="1" applyFont="1" applyFill="1" applyBorder="1"/>
    <xf numFmtId="2" fontId="0" fillId="2" borderId="36" xfId="0" applyNumberFormat="1" applyFill="1" applyBorder="1"/>
    <xf numFmtId="1" fontId="0" fillId="0" borderId="36" xfId="0" applyNumberFormat="1" applyBorder="1"/>
    <xf numFmtId="1" fontId="10" fillId="4" borderId="17" xfId="0" applyNumberFormat="1" applyFont="1" applyFill="1" applyBorder="1" applyAlignment="1">
      <alignment horizontal="center" vertical="center"/>
    </xf>
    <xf numFmtId="1" fontId="0" fillId="8" borderId="0" xfId="0" applyNumberFormat="1" applyFill="1" applyAlignment="1">
      <alignment horizontal="center"/>
    </xf>
    <xf numFmtId="1" fontId="0" fillId="9" borderId="0" xfId="0" applyNumberFormat="1" applyFill="1" applyAlignment="1">
      <alignment horizontal="center"/>
    </xf>
    <xf numFmtId="1" fontId="0" fillId="10" borderId="0" xfId="0" applyNumberFormat="1" applyFill="1" applyAlignment="1">
      <alignment horizontal="center"/>
    </xf>
    <xf numFmtId="1" fontId="0" fillId="8" borderId="17" xfId="0" applyNumberFormat="1" applyFill="1" applyBorder="1" applyAlignment="1">
      <alignment horizontal="center"/>
    </xf>
    <xf numFmtId="1" fontId="0" fillId="8" borderId="22" xfId="0" applyNumberFormat="1" applyFill="1" applyBorder="1" applyAlignment="1">
      <alignment horizontal="center" vertical="center"/>
    </xf>
    <xf numFmtId="1" fontId="0" fillId="9" borderId="17" xfId="0" applyNumberFormat="1" applyFill="1" applyBorder="1" applyAlignment="1">
      <alignment horizontal="center"/>
    </xf>
    <xf numFmtId="1" fontId="0" fillId="10" borderId="17" xfId="0" applyNumberFormat="1" applyFill="1" applyBorder="1" applyAlignment="1">
      <alignment horizontal="center"/>
    </xf>
    <xf numFmtId="0" fontId="0" fillId="19" borderId="51" xfId="0" applyFill="1" applyBorder="1"/>
    <xf numFmtId="0" fontId="0" fillId="19" borderId="30" xfId="0" applyFill="1" applyBorder="1"/>
    <xf numFmtId="43" fontId="0" fillId="0" borderId="0" xfId="0" applyNumberFormat="1"/>
    <xf numFmtId="0" fontId="0" fillId="20" borderId="0" xfId="0" applyFill="1"/>
    <xf numFmtId="0" fontId="0" fillId="16" borderId="13" xfId="0" applyFill="1" applyBorder="1" applyAlignment="1">
      <alignment horizontal="center"/>
    </xf>
    <xf numFmtId="0" fontId="0" fillId="16" borderId="14" xfId="0" applyFill="1" applyBorder="1" applyAlignment="1">
      <alignment horizontal="center"/>
    </xf>
    <xf numFmtId="0" fontId="0" fillId="19" borderId="53" xfId="0" applyFill="1" applyBorder="1"/>
    <xf numFmtId="0" fontId="0" fillId="19" borderId="21" xfId="0" applyFill="1" applyBorder="1"/>
    <xf numFmtId="0" fontId="0" fillId="8" borderId="17" xfId="0" applyFill="1" applyBorder="1" applyAlignment="1">
      <alignment horizontal="center"/>
    </xf>
    <xf numFmtId="0" fontId="0" fillId="2" borderId="30" xfId="0" applyFill="1" applyBorder="1" applyAlignment="1">
      <alignment horizontal="center"/>
    </xf>
    <xf numFmtId="0" fontId="0" fillId="16" borderId="9" xfId="0" applyFill="1" applyBorder="1" applyAlignment="1">
      <alignment horizontal="center"/>
    </xf>
    <xf numFmtId="0" fontId="0" fillId="16" borderId="0" xfId="0" applyFill="1" applyAlignment="1">
      <alignment horizontal="center"/>
    </xf>
    <xf numFmtId="0" fontId="0" fillId="16" borderId="10" xfId="0" applyFill="1" applyBorder="1" applyAlignment="1">
      <alignment horizontal="center"/>
    </xf>
    <xf numFmtId="0" fontId="0" fillId="16" borderId="21" xfId="0" applyFill="1" applyBorder="1" applyAlignment="1">
      <alignment horizontal="center"/>
    </xf>
    <xf numFmtId="0" fontId="0" fillId="16" borderId="17" xfId="0" applyFill="1" applyBorder="1" applyAlignment="1">
      <alignment horizontal="center"/>
    </xf>
    <xf numFmtId="0" fontId="0" fillId="16" borderId="22" xfId="0" applyFill="1" applyBorder="1" applyAlignment="1">
      <alignment horizontal="center"/>
    </xf>
    <xf numFmtId="1" fontId="0" fillId="16" borderId="9" xfId="0" applyNumberFormat="1" applyFill="1" applyBorder="1" applyAlignment="1">
      <alignment horizontal="center" vertical="center"/>
    </xf>
    <xf numFmtId="1" fontId="0" fillId="16" borderId="0" xfId="0" applyNumberFormat="1" applyFill="1" applyAlignment="1">
      <alignment horizontal="center" vertical="center"/>
    </xf>
    <xf numFmtId="1" fontId="0" fillId="16" borderId="21" xfId="0" applyNumberFormat="1" applyFill="1" applyBorder="1" applyAlignment="1">
      <alignment horizontal="center" vertical="center"/>
    </xf>
    <xf numFmtId="1" fontId="0" fillId="16" borderId="17" xfId="0" applyNumberFormat="1" applyFill="1" applyBorder="1" applyAlignment="1">
      <alignment horizontal="center" vertical="center"/>
    </xf>
    <xf numFmtId="1" fontId="0" fillId="16" borderId="11" xfId="0" applyNumberFormat="1" applyFill="1" applyBorder="1" applyAlignment="1">
      <alignment horizontal="center" vertical="center"/>
    </xf>
    <xf numFmtId="1" fontId="0" fillId="16" borderId="3" xfId="0" applyNumberFormat="1" applyFill="1" applyBorder="1" applyAlignment="1">
      <alignment horizontal="center" vertical="center"/>
    </xf>
    <xf numFmtId="1" fontId="0" fillId="16" borderId="12" xfId="0" applyNumberFormat="1" applyFill="1" applyBorder="1" applyAlignment="1">
      <alignment horizontal="center" vertical="center"/>
    </xf>
    <xf numFmtId="1" fontId="18" fillId="16" borderId="0" xfId="0" applyNumberFormat="1" applyFont="1" applyFill="1" applyAlignment="1">
      <alignment horizontal="center" vertical="center"/>
    </xf>
    <xf numFmtId="1" fontId="0" fillId="16" borderId="38" xfId="0" applyNumberFormat="1" applyFill="1" applyBorder="1" applyAlignment="1">
      <alignment horizontal="center" vertical="center"/>
    </xf>
    <xf numFmtId="1" fontId="10" fillId="16" borderId="38" xfId="0" applyNumberFormat="1" applyFont="1" applyFill="1" applyBorder="1" applyAlignment="1">
      <alignment horizontal="center" vertical="center"/>
    </xf>
    <xf numFmtId="1" fontId="10" fillId="16" borderId="0" xfId="0" applyNumberFormat="1" applyFont="1" applyFill="1" applyAlignment="1">
      <alignment horizontal="center" vertical="center"/>
    </xf>
    <xf numFmtId="1" fontId="10" fillId="16" borderId="17" xfId="0" applyNumberFormat="1" applyFont="1" applyFill="1" applyBorder="1" applyAlignment="1">
      <alignment horizontal="center" vertical="center"/>
    </xf>
    <xf numFmtId="1" fontId="0" fillId="21" borderId="0" xfId="0" applyNumberFormat="1" applyFill="1" applyAlignment="1">
      <alignment horizontal="center" vertical="center"/>
    </xf>
    <xf numFmtId="0" fontId="0" fillId="4" borderId="46" xfId="0" applyFill="1" applyBorder="1" applyAlignment="1">
      <alignment horizontal="center"/>
    </xf>
    <xf numFmtId="1" fontId="0" fillId="4" borderId="38" xfId="0" applyNumberFormat="1" applyFill="1" applyBorder="1" applyAlignment="1">
      <alignment horizontal="center" vertical="center"/>
    </xf>
    <xf numFmtId="1" fontId="12" fillId="4" borderId="38" xfId="0" applyNumberFormat="1" applyFont="1" applyFill="1" applyBorder="1" applyAlignment="1">
      <alignment horizontal="center" vertical="center"/>
    </xf>
    <xf numFmtId="2" fontId="10" fillId="4" borderId="10" xfId="0" applyNumberFormat="1" applyFont="1" applyFill="1" applyBorder="1" applyAlignment="1">
      <alignment horizontal="center" vertical="center"/>
    </xf>
    <xf numFmtId="2" fontId="0" fillId="11" borderId="0" xfId="0" applyNumberFormat="1" applyFill="1"/>
    <xf numFmtId="166" fontId="0" fillId="0" borderId="0" xfId="2" applyNumberFormat="1" applyFont="1"/>
    <xf numFmtId="2" fontId="0" fillId="16" borderId="0" xfId="0" applyNumberFormat="1" applyFill="1" applyAlignment="1">
      <alignment horizontal="center" vertical="center"/>
    </xf>
    <xf numFmtId="2" fontId="10" fillId="4" borderId="22" xfId="0" applyNumberFormat="1" applyFont="1" applyFill="1" applyBorder="1" applyAlignment="1">
      <alignment horizontal="center" vertical="center"/>
    </xf>
    <xf numFmtId="2" fontId="0" fillId="8" borderId="10" xfId="0" applyNumberFormat="1" applyFill="1" applyBorder="1" applyAlignment="1">
      <alignment horizontal="center" vertical="center"/>
    </xf>
    <xf numFmtId="2" fontId="0" fillId="8" borderId="22" xfId="0" applyNumberFormat="1" applyFill="1" applyBorder="1" applyAlignment="1">
      <alignment horizontal="center" vertical="center"/>
    </xf>
    <xf numFmtId="2" fontId="0" fillId="9" borderId="0" xfId="0" applyNumberFormat="1" applyFill="1" applyAlignment="1">
      <alignment horizontal="center" vertical="center"/>
    </xf>
    <xf numFmtId="0" fontId="0" fillId="19" borderId="58" xfId="0" applyFill="1" applyBorder="1"/>
    <xf numFmtId="0" fontId="0" fillId="19" borderId="59" xfId="0" applyFill="1" applyBorder="1"/>
    <xf numFmtId="0" fontId="3" fillId="19" borderId="60" xfId="0" applyFont="1" applyFill="1" applyBorder="1"/>
    <xf numFmtId="0" fontId="10" fillId="2" borderId="41" xfId="0" applyFont="1" applyFill="1" applyBorder="1" applyAlignment="1">
      <alignment horizontal="center"/>
    </xf>
    <xf numFmtId="165" fontId="3" fillId="12" borderId="60" xfId="0" applyNumberFormat="1" applyFont="1" applyFill="1" applyBorder="1" applyAlignment="1">
      <alignment horizontal="center"/>
    </xf>
    <xf numFmtId="165" fontId="3" fillId="2" borderId="60" xfId="0" applyNumberFormat="1" applyFont="1" applyFill="1" applyBorder="1" applyAlignment="1">
      <alignment horizontal="center"/>
    </xf>
    <xf numFmtId="43" fontId="0" fillId="0" borderId="0" xfId="2" applyFont="1"/>
    <xf numFmtId="0" fontId="0" fillId="2" borderId="58" xfId="0" applyFill="1" applyBorder="1" applyAlignment="1">
      <alignment horizontal="center"/>
    </xf>
    <xf numFmtId="0" fontId="0" fillId="2" borderId="59" xfId="0" applyFill="1" applyBorder="1" applyAlignment="1">
      <alignment horizontal="center"/>
    </xf>
    <xf numFmtId="0" fontId="0" fillId="2" borderId="49" xfId="0" applyFill="1" applyBorder="1" applyAlignment="1">
      <alignment horizontal="center" vertical="center"/>
    </xf>
    <xf numFmtId="0" fontId="0" fillId="2" borderId="39" xfId="0" applyFill="1" applyBorder="1" applyAlignment="1">
      <alignment horizontal="center" vertical="center"/>
    </xf>
    <xf numFmtId="0" fontId="0" fillId="2" borderId="4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165" fontId="10" fillId="19" borderId="0" xfId="0" applyNumberFormat="1" applyFont="1" applyFill="1" applyAlignment="1">
      <alignment horizontal="center"/>
    </xf>
    <xf numFmtId="165" fontId="0" fillId="19" borderId="0" xfId="0" applyNumberFormat="1" applyFill="1" applyAlignment="1">
      <alignment horizontal="center"/>
    </xf>
    <xf numFmtId="44" fontId="3" fillId="22" borderId="28" xfId="0" applyNumberFormat="1" applyFont="1" applyFill="1" applyBorder="1" applyAlignment="1">
      <alignment horizontal="center" vertical="center"/>
    </xf>
    <xf numFmtId="0" fontId="0" fillId="2" borderId="32" xfId="0" applyFill="1" applyBorder="1" applyAlignment="1">
      <alignment horizontal="center"/>
    </xf>
    <xf numFmtId="0" fontId="0" fillId="19" borderId="0" xfId="0" applyFill="1" applyAlignment="1">
      <alignment horizontal="center" vertical="center"/>
    </xf>
    <xf numFmtId="0" fontId="0" fillId="14" borderId="0" xfId="0" applyFill="1"/>
    <xf numFmtId="0" fontId="0" fillId="2" borderId="23" xfId="0" applyFill="1" applyBorder="1" applyAlignment="1">
      <alignment horizontal="center"/>
    </xf>
    <xf numFmtId="0" fontId="3" fillId="19" borderId="47" xfId="0" applyFont="1" applyFill="1" applyBorder="1" applyAlignment="1">
      <alignment horizontal="center"/>
    </xf>
    <xf numFmtId="0" fontId="3" fillId="19" borderId="26" xfId="0" applyFont="1" applyFill="1" applyBorder="1"/>
    <xf numFmtId="0" fontId="3" fillId="19" borderId="29" xfId="0" applyFont="1" applyFill="1" applyBorder="1"/>
    <xf numFmtId="0" fontId="0" fillId="0" borderId="0" xfId="0" applyAlignment="1">
      <alignment horizontal="right"/>
    </xf>
    <xf numFmtId="43" fontId="0" fillId="0" borderId="0" xfId="2" applyFont="1" applyFill="1" applyBorder="1"/>
    <xf numFmtId="0" fontId="0" fillId="9" borderId="60" xfId="0" applyFill="1" applyBorder="1"/>
    <xf numFmtId="0" fontId="21" fillId="0" borderId="0" xfId="0" applyFont="1"/>
    <xf numFmtId="166" fontId="0" fillId="0" borderId="10" xfId="2" applyNumberFormat="1" applyFont="1" applyBorder="1"/>
    <xf numFmtId="0" fontId="3" fillId="19" borderId="50" xfId="0" applyFont="1" applyFill="1" applyBorder="1" applyAlignment="1">
      <alignment vertical="center"/>
    </xf>
    <xf numFmtId="0" fontId="3" fillId="19" borderId="47" xfId="0" applyFont="1" applyFill="1" applyBorder="1" applyAlignment="1">
      <alignment vertical="center"/>
    </xf>
    <xf numFmtId="0" fontId="3" fillId="19" borderId="48" xfId="0" applyFont="1" applyFill="1" applyBorder="1" applyAlignment="1">
      <alignment vertical="center"/>
    </xf>
    <xf numFmtId="0" fontId="3" fillId="19" borderId="51" xfId="0" applyFont="1" applyFill="1" applyBorder="1" applyAlignment="1">
      <alignment horizontal="center"/>
    </xf>
    <xf numFmtId="0" fontId="21" fillId="17" borderId="0" xfId="0" applyFont="1" applyFill="1"/>
    <xf numFmtId="0" fontId="21" fillId="13" borderId="0" xfId="0" applyFont="1" applyFill="1"/>
    <xf numFmtId="44" fontId="3" fillId="2" borderId="29" xfId="0" applyNumberFormat="1" applyFont="1" applyFill="1" applyBorder="1" applyAlignment="1">
      <alignment horizontal="center" vertical="center"/>
    </xf>
    <xf numFmtId="0" fontId="3" fillId="4" borderId="27" xfId="0" applyFont="1" applyFill="1" applyBorder="1" applyAlignment="1">
      <alignment horizontal="center" vertical="center"/>
    </xf>
    <xf numFmtId="0" fontId="3" fillId="4" borderId="12" xfId="0" applyFont="1" applyFill="1" applyBorder="1" applyAlignment="1">
      <alignment horizontal="center" vertical="center"/>
    </xf>
    <xf numFmtId="0" fontId="3" fillId="16" borderId="27" xfId="0" applyFont="1" applyFill="1" applyBorder="1" applyAlignment="1">
      <alignment horizontal="center" vertical="center"/>
    </xf>
    <xf numFmtId="0" fontId="3" fillId="16" borderId="3" xfId="0" applyFont="1" applyFill="1" applyBorder="1" applyAlignment="1">
      <alignment horizontal="center" vertical="center"/>
    </xf>
    <xf numFmtId="0" fontId="3" fillId="13" borderId="27" xfId="0" applyFont="1" applyFill="1" applyBorder="1" applyAlignment="1">
      <alignment horizontal="center" vertical="center"/>
    </xf>
    <xf numFmtId="0" fontId="3" fillId="13" borderId="12" xfId="0" applyFont="1" applyFill="1" applyBorder="1" applyAlignment="1">
      <alignment horizontal="center" vertical="center"/>
    </xf>
    <xf numFmtId="0" fontId="3" fillId="9" borderId="27" xfId="0" applyFont="1" applyFill="1" applyBorder="1" applyAlignment="1">
      <alignment horizontal="center" vertical="center"/>
    </xf>
    <xf numFmtId="0" fontId="3" fillId="9" borderId="12" xfId="0" applyFont="1" applyFill="1" applyBorder="1" applyAlignment="1">
      <alignment horizontal="center" vertical="center"/>
    </xf>
    <xf numFmtId="0" fontId="3" fillId="10" borderId="27" xfId="0" applyFont="1" applyFill="1" applyBorder="1" applyAlignment="1">
      <alignment horizontal="center" vertical="center"/>
    </xf>
    <xf numFmtId="0" fontId="3" fillId="10" borderId="12" xfId="0" applyFont="1" applyFill="1" applyBorder="1" applyAlignment="1">
      <alignment horizontal="center" vertical="center"/>
    </xf>
    <xf numFmtId="0" fontId="21" fillId="13" borderId="3" xfId="0" applyFont="1" applyFill="1" applyBorder="1"/>
    <xf numFmtId="0" fontId="21" fillId="0" borderId="0" xfId="0" quotePrefix="1" applyFont="1"/>
    <xf numFmtId="0" fontId="0" fillId="8" borderId="0" xfId="0" applyFill="1" applyAlignment="1">
      <alignment horizontal="center" vertical="center"/>
    </xf>
    <xf numFmtId="0" fontId="0" fillId="19" borderId="0" xfId="0" applyFill="1" applyAlignment="1">
      <alignment horizontal="center"/>
    </xf>
    <xf numFmtId="0" fontId="0" fillId="8" borderId="0" xfId="0" applyFill="1" applyAlignment="1">
      <alignment horizontal="center"/>
    </xf>
    <xf numFmtId="0" fontId="0" fillId="0" borderId="3" xfId="0" applyBorder="1" applyAlignment="1">
      <alignment horizontal="center"/>
    </xf>
    <xf numFmtId="0" fontId="3" fillId="0" borderId="10" xfId="0" applyFont="1" applyBorder="1" applyAlignment="1">
      <alignment horizontal="center" vertical="center"/>
    </xf>
    <xf numFmtId="0" fontId="8" fillId="0" borderId="0" xfId="0" applyFont="1"/>
    <xf numFmtId="2" fontId="8" fillId="0" borderId="0" xfId="0" applyNumberFormat="1" applyFont="1"/>
    <xf numFmtId="43" fontId="8" fillId="0" borderId="0" xfId="2" applyFont="1"/>
    <xf numFmtId="0" fontId="3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0" fillId="0" borderId="0" xfId="0" applyNumberFormat="1"/>
    <xf numFmtId="0" fontId="3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1" fontId="7" fillId="0" borderId="0" xfId="0" applyNumberFormat="1" applyFont="1" applyAlignment="1">
      <alignment vertical="center"/>
    </xf>
    <xf numFmtId="2" fontId="7" fillId="0" borderId="0" xfId="0" applyNumberFormat="1" applyFont="1" applyAlignment="1">
      <alignment vertical="center"/>
    </xf>
    <xf numFmtId="2" fontId="23" fillId="0" borderId="0" xfId="0" applyNumberFormat="1" applyFont="1" applyAlignment="1">
      <alignment horizontal="center" vertical="center"/>
    </xf>
    <xf numFmtId="1" fontId="0" fillId="19" borderId="0" xfId="0" applyNumberFormat="1" applyFill="1" applyAlignment="1">
      <alignment horizontal="center"/>
    </xf>
    <xf numFmtId="165" fontId="0" fillId="19" borderId="0" xfId="0" applyNumberFormat="1" applyFill="1" applyAlignment="1">
      <alignment horizontal="center" vertical="center"/>
    </xf>
    <xf numFmtId="0" fontId="0" fillId="0" borderId="9" xfId="0" applyBorder="1" applyAlignment="1">
      <alignment horizontal="center"/>
    </xf>
    <xf numFmtId="0" fontId="10" fillId="8" borderId="10" xfId="0" applyFont="1" applyFill="1" applyBorder="1"/>
    <xf numFmtId="0" fontId="10" fillId="8" borderId="10" xfId="0" quotePrefix="1" applyFont="1" applyFill="1" applyBorder="1"/>
    <xf numFmtId="0" fontId="0" fillId="0" borderId="9" xfId="0" quotePrefix="1" applyBorder="1" applyAlignment="1">
      <alignment horizontal="left"/>
    </xf>
    <xf numFmtId="0" fontId="0" fillId="0" borderId="9" xfId="0" applyBorder="1" applyAlignment="1">
      <alignment horizontal="left"/>
    </xf>
    <xf numFmtId="0" fontId="0" fillId="19" borderId="0" xfId="0" applyFill="1"/>
    <xf numFmtId="0" fontId="7" fillId="14" borderId="52" xfId="0" applyFont="1" applyFill="1" applyBorder="1" applyAlignment="1">
      <alignment horizontal="center" vertical="center"/>
    </xf>
    <xf numFmtId="165" fontId="0" fillId="0" borderId="10" xfId="0" applyNumberFormat="1" applyBorder="1" applyAlignment="1">
      <alignment horizontal="center"/>
    </xf>
    <xf numFmtId="0" fontId="0" fillId="0" borderId="10" xfId="0" applyBorder="1" applyAlignment="1">
      <alignment horizontal="center" vertical="center"/>
    </xf>
    <xf numFmtId="165" fontId="0" fillId="0" borderId="10" xfId="0" applyNumberForma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2" fontId="0" fillId="0" borderId="0" xfId="0" applyNumberFormat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6" fillId="0" borderId="53" xfId="0" applyFont="1" applyBorder="1" applyAlignment="1">
      <alignment vertical="center"/>
    </xf>
    <xf numFmtId="0" fontId="6" fillId="0" borderId="46" xfId="0" applyFont="1" applyBorder="1" applyAlignment="1">
      <alignment vertical="center" wrapText="1"/>
    </xf>
    <xf numFmtId="0" fontId="16" fillId="21" borderId="31" xfId="0" applyFont="1" applyFill="1" applyBorder="1" applyAlignment="1">
      <alignment horizontal="left" vertical="center"/>
    </xf>
    <xf numFmtId="0" fontId="16" fillId="21" borderId="56" xfId="0" applyFont="1" applyFill="1" applyBorder="1" applyAlignment="1">
      <alignment horizontal="left" vertical="center"/>
    </xf>
    <xf numFmtId="0" fontId="16" fillId="21" borderId="59" xfId="0" applyFont="1" applyFill="1" applyBorder="1" applyAlignment="1">
      <alignment horizontal="left" vertical="center"/>
    </xf>
    <xf numFmtId="0" fontId="16" fillId="21" borderId="66" xfId="0" applyFont="1" applyFill="1" applyBorder="1" applyAlignment="1">
      <alignment horizontal="left" vertical="center"/>
    </xf>
    <xf numFmtId="0" fontId="25" fillId="21" borderId="26" xfId="0" applyFont="1" applyFill="1" applyBorder="1" applyAlignment="1">
      <alignment horizontal="center" vertical="center"/>
    </xf>
    <xf numFmtId="0" fontId="3" fillId="0" borderId="10" xfId="0" applyFont="1" applyBorder="1" applyAlignment="1">
      <alignment horizontal="center"/>
    </xf>
    <xf numFmtId="1" fontId="0" fillId="0" borderId="10" xfId="0" applyNumberFormat="1" applyBorder="1" applyAlignment="1">
      <alignment horizontal="center"/>
    </xf>
    <xf numFmtId="0" fontId="0" fillId="8" borderId="10" xfId="0" quotePrefix="1" applyFill="1" applyBorder="1"/>
    <xf numFmtId="0" fontId="0" fillId="0" borderId="9" xfId="0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10" fillId="0" borderId="0" xfId="0" applyNumberFormat="1" applyFont="1" applyAlignment="1">
      <alignment horizontal="center" vertical="center"/>
    </xf>
    <xf numFmtId="0" fontId="3" fillId="16" borderId="57" xfId="0" applyFont="1" applyFill="1" applyBorder="1" applyAlignment="1">
      <alignment horizontal="center" vertical="center"/>
    </xf>
    <xf numFmtId="0" fontId="3" fillId="16" borderId="15" xfId="0" applyFont="1" applyFill="1" applyBorder="1" applyAlignment="1">
      <alignment horizontal="center" vertical="center"/>
    </xf>
    <xf numFmtId="0" fontId="3" fillId="19" borderId="24" xfId="0" applyFont="1" applyFill="1" applyBorder="1" applyAlignment="1">
      <alignment horizontal="center"/>
    </xf>
    <xf numFmtId="0" fontId="3" fillId="0" borderId="9" xfId="0" applyFont="1" applyBorder="1" applyAlignment="1">
      <alignment vertical="center"/>
    </xf>
    <xf numFmtId="2" fontId="3" fillId="0" borderId="0" xfId="0" applyNumberFormat="1" applyFont="1" applyAlignment="1">
      <alignment vertical="center"/>
    </xf>
    <xf numFmtId="0" fontId="7" fillId="0" borderId="0" xfId="0" applyFont="1"/>
    <xf numFmtId="0" fontId="3" fillId="0" borderId="0" xfId="0" applyFont="1" applyAlignment="1">
      <alignment vertical="center"/>
    </xf>
    <xf numFmtId="165" fontId="10" fillId="0" borderId="0" xfId="0" applyNumberFormat="1" applyFont="1" applyAlignment="1">
      <alignment horizontal="center"/>
    </xf>
    <xf numFmtId="2" fontId="21" fillId="0" borderId="0" xfId="0" applyNumberFormat="1" applyFont="1" applyAlignment="1">
      <alignment vertical="center"/>
    </xf>
    <xf numFmtId="2" fontId="20" fillId="0" borderId="0" xfId="0" applyNumberFormat="1" applyFont="1" applyAlignment="1">
      <alignment vertical="center"/>
    </xf>
    <xf numFmtId="0" fontId="16" fillId="0" borderId="0" xfId="0" applyFont="1"/>
    <xf numFmtId="0" fontId="3" fillId="0" borderId="9" xfId="0" applyFont="1" applyBorder="1"/>
    <xf numFmtId="0" fontId="21" fillId="17" borderId="0" xfId="0" applyFont="1" applyFill="1" applyAlignment="1">
      <alignment horizontal="center" vertical="center"/>
    </xf>
    <xf numFmtId="0" fontId="21" fillId="13" borderId="0" xfId="0" applyFont="1" applyFill="1" applyAlignment="1">
      <alignment horizontal="center" vertical="center"/>
    </xf>
    <xf numFmtId="165" fontId="21" fillId="13" borderId="0" xfId="0" applyNumberFormat="1" applyFont="1" applyFill="1" applyAlignment="1">
      <alignment horizontal="center" vertical="center"/>
    </xf>
    <xf numFmtId="165" fontId="21" fillId="17" borderId="0" xfId="0" applyNumberFormat="1" applyFont="1" applyFill="1" applyAlignment="1">
      <alignment horizontal="center" vertical="center"/>
    </xf>
    <xf numFmtId="0" fontId="21" fillId="13" borderId="3" xfId="0" applyFont="1" applyFill="1" applyBorder="1" applyAlignment="1">
      <alignment horizontal="center" vertical="center"/>
    </xf>
    <xf numFmtId="165" fontId="21" fillId="13" borderId="3" xfId="0" applyNumberFormat="1" applyFont="1" applyFill="1" applyBorder="1" applyAlignment="1">
      <alignment horizontal="center" vertical="center"/>
    </xf>
    <xf numFmtId="0" fontId="7" fillId="0" borderId="53" xfId="0" applyFont="1" applyBorder="1" applyAlignment="1">
      <alignment vertical="center"/>
    </xf>
    <xf numFmtId="0" fontId="21" fillId="17" borderId="9" xfId="0" applyFont="1" applyFill="1" applyBorder="1" applyAlignment="1">
      <alignment horizontal="center" vertical="center"/>
    </xf>
    <xf numFmtId="0" fontId="21" fillId="13" borderId="9" xfId="0" applyFont="1" applyFill="1" applyBorder="1" applyAlignment="1">
      <alignment horizontal="center" vertical="center"/>
    </xf>
    <xf numFmtId="0" fontId="21" fillId="13" borderId="11" xfId="0" applyFont="1" applyFill="1" applyBorder="1" applyAlignment="1">
      <alignment horizontal="center" vertical="center"/>
    </xf>
    <xf numFmtId="0" fontId="7" fillId="0" borderId="51" xfId="0" applyFont="1" applyBorder="1" applyAlignment="1">
      <alignment horizontal="center" vertical="center"/>
    </xf>
    <xf numFmtId="43" fontId="8" fillId="0" borderId="0" xfId="0" applyNumberFormat="1" applyFont="1"/>
    <xf numFmtId="0" fontId="0" fillId="0" borderId="10" xfId="0" applyBorder="1" applyAlignment="1">
      <alignment horizontal="center"/>
    </xf>
    <xf numFmtId="0" fontId="7" fillId="14" borderId="21" xfId="0" applyFont="1" applyFill="1" applyBorder="1" applyAlignment="1">
      <alignment horizontal="center" vertical="center"/>
    </xf>
    <xf numFmtId="0" fontId="7" fillId="0" borderId="53" xfId="0" applyFont="1" applyBorder="1" applyAlignment="1">
      <alignment horizontal="center" vertical="center"/>
    </xf>
    <xf numFmtId="1" fontId="0" fillId="2" borderId="9" xfId="0" applyNumberFormat="1" applyFill="1" applyBorder="1" applyAlignment="1">
      <alignment horizontal="center"/>
    </xf>
    <xf numFmtId="1" fontId="0" fillId="2" borderId="59" xfId="0" applyNumberFormat="1" applyFill="1" applyBorder="1" applyAlignment="1">
      <alignment horizontal="center"/>
    </xf>
    <xf numFmtId="0" fontId="10" fillId="12" borderId="0" xfId="0" applyFont="1" applyFill="1"/>
    <xf numFmtId="0" fontId="24" fillId="0" borderId="0" xfId="0" applyFont="1"/>
    <xf numFmtId="0" fontId="23" fillId="0" borderId="0" xfId="0" applyFont="1"/>
    <xf numFmtId="0" fontId="6" fillId="0" borderId="53" xfId="0" applyFont="1" applyBorder="1" applyAlignment="1">
      <alignment horizontal="center" vertical="center" wrapText="1"/>
    </xf>
    <xf numFmtId="0" fontId="17" fillId="0" borderId="42" xfId="0" applyFont="1" applyBorder="1" applyAlignment="1">
      <alignment horizontal="center" vertical="center"/>
    </xf>
    <xf numFmtId="0" fontId="6" fillId="23" borderId="9" xfId="0" applyFont="1" applyFill="1" applyBorder="1" applyAlignment="1">
      <alignment horizontal="center" vertical="center"/>
    </xf>
    <xf numFmtId="0" fontId="6" fillId="23" borderId="0" xfId="0" applyFont="1" applyFill="1" applyAlignment="1">
      <alignment horizontal="center" vertical="center"/>
    </xf>
    <xf numFmtId="0" fontId="6" fillId="23" borderId="10" xfId="0" applyFont="1" applyFill="1" applyBorder="1" applyAlignment="1">
      <alignment horizontal="center" vertical="center"/>
    </xf>
    <xf numFmtId="0" fontId="7" fillId="24" borderId="26" xfId="0" applyFont="1" applyFill="1" applyBorder="1" applyAlignment="1">
      <alignment horizontal="left" vertical="center"/>
    </xf>
    <xf numFmtId="0" fontId="24" fillId="24" borderId="31" xfId="0" applyFont="1" applyFill="1" applyBorder="1" applyAlignment="1">
      <alignment horizontal="left" vertical="center"/>
    </xf>
    <xf numFmtId="0" fontId="24" fillId="24" borderId="56" xfId="0" applyFont="1" applyFill="1" applyBorder="1" applyAlignment="1">
      <alignment horizontal="left" vertical="center"/>
    </xf>
    <xf numFmtId="0" fontId="24" fillId="24" borderId="59" xfId="0" applyFont="1" applyFill="1" applyBorder="1" applyAlignment="1">
      <alignment horizontal="left" vertical="center"/>
    </xf>
    <xf numFmtId="0" fontId="24" fillId="24" borderId="66" xfId="0" applyFont="1" applyFill="1" applyBorder="1" applyAlignment="1">
      <alignment horizontal="left" vertical="center"/>
    </xf>
    <xf numFmtId="0" fontId="24" fillId="24" borderId="22" xfId="0" applyFont="1" applyFill="1" applyBorder="1" applyAlignment="1">
      <alignment horizontal="left" vertical="center"/>
    </xf>
    <xf numFmtId="0" fontId="7" fillId="24" borderId="59" xfId="0" applyFont="1" applyFill="1" applyBorder="1" applyAlignment="1">
      <alignment horizontal="left" vertical="center"/>
    </xf>
    <xf numFmtId="0" fontId="24" fillId="24" borderId="60" xfId="0" applyFont="1" applyFill="1" applyBorder="1" applyAlignment="1">
      <alignment horizontal="left" vertical="center"/>
    </xf>
    <xf numFmtId="0" fontId="21" fillId="17" borderId="10" xfId="0" quotePrefix="1" applyFont="1" applyFill="1" applyBorder="1" applyAlignment="1">
      <alignment horizontal="center"/>
    </xf>
    <xf numFmtId="0" fontId="21" fillId="13" borderId="10" xfId="0" applyFont="1" applyFill="1" applyBorder="1" applyAlignment="1">
      <alignment horizontal="center"/>
    </xf>
    <xf numFmtId="0" fontId="21" fillId="13" borderId="12" xfId="0" applyFont="1" applyFill="1" applyBorder="1" applyAlignment="1">
      <alignment horizontal="center"/>
    </xf>
    <xf numFmtId="0" fontId="21" fillId="17" borderId="10" xfId="0" applyFont="1" applyFill="1" applyBorder="1" applyAlignment="1">
      <alignment horizontal="center"/>
    </xf>
    <xf numFmtId="44" fontId="13" fillId="8" borderId="0" xfId="3" applyFont="1" applyFill="1"/>
    <xf numFmtId="0" fontId="13" fillId="8" borderId="0" xfId="0" applyFont="1" applyFill="1"/>
    <xf numFmtId="2" fontId="0" fillId="19" borderId="0" xfId="0" applyNumberFormat="1" applyFill="1" applyAlignment="1">
      <alignment horizontal="center"/>
    </xf>
    <xf numFmtId="2" fontId="0" fillId="0" borderId="10" xfId="0" applyNumberFormat="1" applyBorder="1" applyAlignment="1">
      <alignment horizontal="center" vertical="center"/>
    </xf>
    <xf numFmtId="0" fontId="28" fillId="0" borderId="0" xfId="0" applyFont="1" applyAlignment="1">
      <alignment horizontal="left" vertical="center" readingOrder="1"/>
    </xf>
    <xf numFmtId="2" fontId="3" fillId="3" borderId="33" xfId="0" applyNumberFormat="1" applyFont="1" applyFill="1" applyBorder="1"/>
    <xf numFmtId="2" fontId="3" fillId="3" borderId="8" xfId="0" applyNumberFormat="1" applyFont="1" applyFill="1" applyBorder="1"/>
    <xf numFmtId="0" fontId="30" fillId="0" borderId="19" xfId="0" applyFont="1" applyBorder="1" applyAlignment="1">
      <alignment horizontal="center"/>
    </xf>
    <xf numFmtId="0" fontId="30" fillId="0" borderId="19" xfId="0" applyFont="1" applyBorder="1" applyAlignment="1">
      <alignment horizontal="centerContinuous"/>
    </xf>
    <xf numFmtId="0" fontId="30" fillId="0" borderId="0" xfId="0" applyFont="1" applyAlignment="1">
      <alignment horizontal="centerContinuous"/>
    </xf>
    <xf numFmtId="0" fontId="30" fillId="0" borderId="0" xfId="0" applyFont="1" applyAlignment="1">
      <alignment horizontal="center"/>
    </xf>
    <xf numFmtId="44" fontId="0" fillId="0" borderId="0" xfId="0" applyNumberFormat="1"/>
    <xf numFmtId="0" fontId="0" fillId="8" borderId="10" xfId="0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3" fillId="19" borderId="60" xfId="0" applyFont="1" applyFill="1" applyBorder="1" applyAlignment="1">
      <alignment horizontal="center"/>
    </xf>
    <xf numFmtId="0" fontId="3" fillId="19" borderId="32" xfId="0" applyFont="1" applyFill="1" applyBorder="1" applyAlignment="1">
      <alignment horizontal="center"/>
    </xf>
    <xf numFmtId="0" fontId="3" fillId="19" borderId="43" xfId="0" applyFont="1" applyFill="1" applyBorder="1" applyAlignment="1">
      <alignment horizontal="center"/>
    </xf>
    <xf numFmtId="165" fontId="0" fillId="0" borderId="12" xfId="0" applyNumberFormat="1" applyBorder="1" applyAlignment="1">
      <alignment horizontal="center"/>
    </xf>
    <xf numFmtId="0" fontId="0" fillId="0" borderId="11" xfId="0" applyBorder="1" applyAlignment="1">
      <alignment horizontal="center"/>
    </xf>
    <xf numFmtId="2" fontId="0" fillId="0" borderId="3" xfId="0" applyNumberFormat="1" applyBorder="1" applyAlignment="1">
      <alignment horizontal="center"/>
    </xf>
    <xf numFmtId="0" fontId="29" fillId="0" borderId="0" xfId="0" applyFont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19" borderId="3" xfId="0" applyFill="1" applyBorder="1" applyAlignment="1">
      <alignment horizontal="center" vertical="center"/>
    </xf>
    <xf numFmtId="0" fontId="3" fillId="0" borderId="9" xfId="0" applyFont="1" applyBorder="1" applyAlignment="1">
      <alignment horizontal="center"/>
    </xf>
    <xf numFmtId="1" fontId="0" fillId="21" borderId="17" xfId="0" applyNumberFormat="1" applyFill="1" applyBorder="1" applyAlignment="1">
      <alignment horizontal="center" vertical="center"/>
    </xf>
    <xf numFmtId="1" fontId="4" fillId="0" borderId="10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0" fillId="19" borderId="9" xfId="0" applyFill="1" applyBorder="1" applyAlignment="1">
      <alignment horizontal="left"/>
    </xf>
    <xf numFmtId="0" fontId="0" fillId="19" borderId="9" xfId="0" applyFill="1" applyBorder="1" applyAlignment="1">
      <alignment horizontal="left" vertical="center"/>
    </xf>
    <xf numFmtId="0" fontId="0" fillId="19" borderId="9" xfId="0" quotePrefix="1" applyFill="1" applyBorder="1" applyAlignment="1">
      <alignment horizontal="left"/>
    </xf>
    <xf numFmtId="0" fontId="0" fillId="0" borderId="17" xfId="0" applyBorder="1" applyAlignment="1">
      <alignment horizontal="center"/>
    </xf>
    <xf numFmtId="0" fontId="0" fillId="19" borderId="17" xfId="0" applyFill="1" applyBorder="1" applyAlignment="1">
      <alignment horizontal="center"/>
    </xf>
    <xf numFmtId="167" fontId="4" fillId="0" borderId="10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 vertical="center"/>
    </xf>
    <xf numFmtId="2" fontId="4" fillId="0" borderId="10" xfId="0" applyNumberFormat="1" applyFont="1" applyBorder="1" applyAlignment="1">
      <alignment horizontal="center"/>
    </xf>
    <xf numFmtId="0" fontId="4" fillId="0" borderId="10" xfId="0" applyFont="1" applyBorder="1" applyAlignment="1">
      <alignment horizontal="center" vertical="center"/>
    </xf>
    <xf numFmtId="166" fontId="0" fillId="13" borderId="25" xfId="2" applyNumberFormat="1" applyFont="1" applyFill="1" applyBorder="1"/>
    <xf numFmtId="0" fontId="0" fillId="13" borderId="26" xfId="0" applyFill="1" applyBorder="1"/>
    <xf numFmtId="0" fontId="0" fillId="13" borderId="60" xfId="0" applyFill="1" applyBorder="1"/>
    <xf numFmtId="2" fontId="0" fillId="13" borderId="32" xfId="0" applyNumberFormat="1" applyFill="1" applyBorder="1"/>
    <xf numFmtId="0" fontId="0" fillId="13" borderId="0" xfId="0" applyFill="1"/>
    <xf numFmtId="166" fontId="0" fillId="13" borderId="23" xfId="2" applyNumberFormat="1" applyFont="1" applyFill="1" applyBorder="1"/>
    <xf numFmtId="0" fontId="0" fillId="13" borderId="56" xfId="0" applyFill="1" applyBorder="1"/>
    <xf numFmtId="0" fontId="0" fillId="13" borderId="10" xfId="0" applyFill="1" applyBorder="1"/>
    <xf numFmtId="166" fontId="0" fillId="2" borderId="9" xfId="2" applyNumberFormat="1" applyFont="1" applyFill="1" applyBorder="1"/>
    <xf numFmtId="9" fontId="0" fillId="0" borderId="10" xfId="1" applyFont="1" applyBorder="1"/>
    <xf numFmtId="0" fontId="0" fillId="2" borderId="9" xfId="0" applyFill="1" applyBorder="1"/>
    <xf numFmtId="9" fontId="0" fillId="2" borderId="9" xfId="1" applyFont="1" applyFill="1" applyBorder="1"/>
    <xf numFmtId="2" fontId="0" fillId="2" borderId="9" xfId="0" applyNumberFormat="1" applyFill="1" applyBorder="1"/>
    <xf numFmtId="2" fontId="0" fillId="0" borderId="6" xfId="0" applyNumberFormat="1" applyBorder="1"/>
    <xf numFmtId="2" fontId="0" fillId="0" borderId="9" xfId="0" applyNumberFormat="1" applyBorder="1"/>
    <xf numFmtId="2" fontId="3" fillId="3" borderId="9" xfId="0" applyNumberFormat="1" applyFont="1" applyFill="1" applyBorder="1"/>
    <xf numFmtId="2" fontId="3" fillId="3" borderId="7" xfId="0" applyNumberFormat="1" applyFont="1" applyFill="1" applyBorder="1"/>
    <xf numFmtId="9" fontId="0" fillId="2" borderId="10" xfId="1" applyFont="1" applyFill="1" applyBorder="1"/>
    <xf numFmtId="0" fontId="0" fillId="14" borderId="36" xfId="0" applyFill="1" applyBorder="1"/>
    <xf numFmtId="2" fontId="0" fillId="0" borderId="45" xfId="0" applyNumberFormat="1" applyBorder="1"/>
    <xf numFmtId="2" fontId="0" fillId="0" borderId="36" xfId="0" applyNumberFormat="1" applyBorder="1"/>
    <xf numFmtId="2" fontId="3" fillId="3" borderId="36" xfId="0" applyNumberFormat="1" applyFont="1" applyFill="1" applyBorder="1"/>
    <xf numFmtId="0" fontId="3" fillId="3" borderId="45" xfId="0" applyFont="1" applyFill="1" applyBorder="1"/>
    <xf numFmtId="9" fontId="0" fillId="0" borderId="4" xfId="1" applyFont="1" applyBorder="1"/>
    <xf numFmtId="0" fontId="3" fillId="3" borderId="33" xfId="0" applyFont="1" applyFill="1" applyBorder="1"/>
    <xf numFmtId="9" fontId="0" fillId="2" borderId="36" xfId="1" applyFont="1" applyFill="1" applyBorder="1" applyAlignment="1">
      <alignment horizontal="right" vertical="center"/>
    </xf>
    <xf numFmtId="166" fontId="0" fillId="0" borderId="36" xfId="0" applyNumberFormat="1" applyBorder="1"/>
    <xf numFmtId="164" fontId="0" fillId="2" borderId="36" xfId="0" applyNumberFormat="1" applyFill="1" applyBorder="1"/>
    <xf numFmtId="0" fontId="13" fillId="0" borderId="0" xfId="0" applyFont="1"/>
    <xf numFmtId="0" fontId="3" fillId="3" borderId="10" xfId="0" applyFont="1" applyFill="1" applyBorder="1"/>
    <xf numFmtId="0" fontId="0" fillId="0" borderId="70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6" xfId="0" applyBorder="1" applyAlignment="1">
      <alignment horizontal="center"/>
    </xf>
    <xf numFmtId="1" fontId="0" fillId="0" borderId="9" xfId="0" applyNumberFormat="1" applyBorder="1"/>
    <xf numFmtId="1" fontId="0" fillId="0" borderId="4" xfId="0" applyNumberFormat="1" applyBorder="1"/>
    <xf numFmtId="1" fontId="0" fillId="0" borderId="10" xfId="0" applyNumberFormat="1" applyBorder="1"/>
    <xf numFmtId="44" fontId="3" fillId="22" borderId="48" xfId="0" applyNumberFormat="1" applyFont="1" applyFill="1" applyBorder="1" applyAlignment="1">
      <alignment horizontal="center" vertical="center"/>
    </xf>
    <xf numFmtId="44" fontId="3" fillId="2" borderId="28" xfId="0" applyNumberFormat="1" applyFont="1" applyFill="1" applyBorder="1" applyAlignment="1">
      <alignment horizontal="center" vertical="center"/>
    </xf>
    <xf numFmtId="0" fontId="3" fillId="2" borderId="32" xfId="0" applyFont="1" applyFill="1" applyBorder="1" applyAlignment="1">
      <alignment horizontal="center" vertical="center"/>
    </xf>
    <xf numFmtId="0" fontId="3" fillId="2" borderId="60" xfId="0" applyFont="1" applyFill="1" applyBorder="1" applyAlignment="1">
      <alignment horizontal="center" vertical="center"/>
    </xf>
    <xf numFmtId="0" fontId="3" fillId="22" borderId="47" xfId="0" applyFont="1" applyFill="1" applyBorder="1" applyAlignment="1">
      <alignment horizontal="center" vertical="center"/>
    </xf>
    <xf numFmtId="0" fontId="3" fillId="22" borderId="32" xfId="0" applyFont="1" applyFill="1" applyBorder="1" applyAlignment="1">
      <alignment horizontal="center" vertical="center"/>
    </xf>
    <xf numFmtId="0" fontId="0" fillId="2" borderId="40" xfId="0" applyFill="1" applyBorder="1" applyAlignment="1">
      <alignment horizontal="center"/>
    </xf>
    <xf numFmtId="0" fontId="5" fillId="0" borderId="0" xfId="0" applyFont="1" applyAlignment="1">
      <alignment horizontal="center" vertical="center"/>
    </xf>
    <xf numFmtId="2" fontId="4" fillId="0" borderId="0" xfId="0" applyNumberFormat="1" applyFont="1"/>
    <xf numFmtId="1" fontId="0" fillId="9" borderId="23" xfId="0" applyNumberFormat="1" applyFill="1" applyBorder="1"/>
    <xf numFmtId="0" fontId="0" fillId="9" borderId="56" xfId="0" applyFill="1" applyBorder="1"/>
    <xf numFmtId="2" fontId="10" fillId="21" borderId="28" xfId="0" applyNumberFormat="1" applyFont="1" applyFill="1" applyBorder="1"/>
    <xf numFmtId="0" fontId="0" fillId="21" borderId="12" xfId="0" applyFill="1" applyBorder="1"/>
    <xf numFmtId="0" fontId="17" fillId="0" borderId="38" xfId="0" applyFont="1" applyBorder="1" applyAlignment="1">
      <alignment horizontal="center" vertical="center"/>
    </xf>
    <xf numFmtId="0" fontId="0" fillId="20" borderId="9" xfId="0" applyFill="1" applyBorder="1"/>
    <xf numFmtId="0" fontId="17" fillId="20" borderId="0" xfId="0" applyFont="1" applyFill="1" applyAlignment="1">
      <alignment horizontal="center" vertical="center"/>
    </xf>
    <xf numFmtId="0" fontId="3" fillId="20" borderId="13" xfId="0" applyFont="1" applyFill="1" applyBorder="1" applyAlignment="1">
      <alignment horizontal="center" vertical="center"/>
    </xf>
    <xf numFmtId="0" fontId="3" fillId="20" borderId="10" xfId="0" applyFont="1" applyFill="1" applyBorder="1" applyAlignment="1">
      <alignment horizontal="center" vertical="center"/>
    </xf>
    <xf numFmtId="0" fontId="3" fillId="19" borderId="48" xfId="0" applyFont="1" applyFill="1" applyBorder="1" applyAlignment="1">
      <alignment horizontal="center"/>
    </xf>
    <xf numFmtId="0" fontId="3" fillId="18" borderId="50" xfId="0" applyFont="1" applyFill="1" applyBorder="1" applyAlignment="1">
      <alignment horizontal="center"/>
    </xf>
    <xf numFmtId="0" fontId="0" fillId="19" borderId="27" xfId="0" applyFill="1" applyBorder="1" applyAlignment="1">
      <alignment horizontal="left"/>
    </xf>
    <xf numFmtId="0" fontId="0" fillId="19" borderId="27" xfId="0" applyFill="1" applyBorder="1"/>
    <xf numFmtId="0" fontId="6" fillId="0" borderId="9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0" fillId="20" borderId="18" xfId="0" applyFill="1" applyBorder="1"/>
    <xf numFmtId="0" fontId="17" fillId="20" borderId="20" xfId="0" applyFont="1" applyFill="1" applyBorder="1" applyAlignment="1">
      <alignment horizontal="center" vertical="center"/>
    </xf>
    <xf numFmtId="0" fontId="0" fillId="8" borderId="20" xfId="0" applyFill="1" applyBorder="1" applyAlignment="1">
      <alignment horizontal="center"/>
    </xf>
    <xf numFmtId="0" fontId="0" fillId="19" borderId="9" xfId="0" applyFill="1" applyBorder="1"/>
    <xf numFmtId="166" fontId="20" fillId="2" borderId="23" xfId="2" applyNumberFormat="1" applyFont="1" applyFill="1" applyBorder="1"/>
    <xf numFmtId="0" fontId="20" fillId="2" borderId="32" xfId="0" applyFont="1" applyFill="1" applyBorder="1"/>
    <xf numFmtId="0" fontId="20" fillId="2" borderId="28" xfId="0" applyFont="1" applyFill="1" applyBorder="1"/>
    <xf numFmtId="0" fontId="0" fillId="8" borderId="32" xfId="0" applyFill="1" applyBorder="1"/>
    <xf numFmtId="0" fontId="0" fillId="8" borderId="23" xfId="0" applyFill="1" applyBorder="1"/>
    <xf numFmtId="0" fontId="0" fillId="0" borderId="17" xfId="0" applyBorder="1"/>
    <xf numFmtId="0" fontId="4" fillId="0" borderId="22" xfId="0" applyFont="1" applyBorder="1" applyAlignment="1">
      <alignment horizontal="center" vertical="center"/>
    </xf>
    <xf numFmtId="0" fontId="0" fillId="19" borderId="17" xfId="0" applyFill="1" applyBorder="1" applyAlignment="1">
      <alignment horizontal="center" vertical="center"/>
    </xf>
    <xf numFmtId="2" fontId="10" fillId="4" borderId="44" xfId="0" applyNumberFormat="1" applyFont="1" applyFill="1" applyBorder="1" applyAlignment="1">
      <alignment horizontal="center" vertical="center"/>
    </xf>
    <xf numFmtId="2" fontId="0" fillId="16" borderId="17" xfId="0" applyNumberFormat="1" applyFill="1" applyBorder="1" applyAlignment="1">
      <alignment horizontal="center" vertical="center"/>
    </xf>
    <xf numFmtId="2" fontId="0" fillId="16" borderId="38" xfId="0" applyNumberFormat="1" applyFill="1" applyBorder="1" applyAlignment="1">
      <alignment horizontal="center" vertical="center"/>
    </xf>
    <xf numFmtId="1" fontId="0" fillId="8" borderId="46" xfId="0" applyNumberFormat="1" applyFill="1" applyBorder="1" applyAlignment="1">
      <alignment horizontal="center" vertical="center"/>
    </xf>
    <xf numFmtId="1" fontId="0" fillId="8" borderId="38" xfId="0" applyNumberFormat="1" applyFill="1" applyBorder="1" applyAlignment="1">
      <alignment horizontal="center" vertical="center"/>
    </xf>
    <xf numFmtId="2" fontId="0" fillId="8" borderId="44" xfId="0" applyNumberFormat="1" applyFill="1" applyBorder="1" applyAlignment="1">
      <alignment horizontal="center" vertical="center"/>
    </xf>
    <xf numFmtId="1" fontId="0" fillId="9" borderId="46" xfId="0" applyNumberFormat="1" applyFill="1" applyBorder="1" applyAlignment="1">
      <alignment horizontal="center" vertical="center"/>
    </xf>
    <xf numFmtId="1" fontId="0" fillId="9" borderId="38" xfId="0" applyNumberFormat="1" applyFill="1" applyBorder="1" applyAlignment="1">
      <alignment horizontal="center" vertical="center"/>
    </xf>
    <xf numFmtId="2" fontId="0" fillId="9" borderId="38" xfId="0" applyNumberFormat="1" applyFill="1" applyBorder="1" applyAlignment="1">
      <alignment horizontal="center" vertical="center"/>
    </xf>
    <xf numFmtId="1" fontId="0" fillId="10" borderId="46" xfId="0" applyNumberFormat="1" applyFill="1" applyBorder="1" applyAlignment="1">
      <alignment horizontal="center" vertical="center"/>
    </xf>
    <xf numFmtId="1" fontId="0" fillId="10" borderId="38" xfId="0" applyNumberFormat="1" applyFill="1" applyBorder="1" applyAlignment="1">
      <alignment horizontal="center" vertical="center"/>
    </xf>
    <xf numFmtId="2" fontId="0" fillId="9" borderId="17" xfId="0" applyNumberFormat="1" applyFill="1" applyBorder="1" applyAlignment="1">
      <alignment horizontal="center" vertical="center"/>
    </xf>
    <xf numFmtId="1" fontId="0" fillId="16" borderId="46" xfId="0" applyNumberFormat="1" applyFill="1" applyBorder="1" applyAlignment="1">
      <alignment horizontal="center" vertical="center"/>
    </xf>
    <xf numFmtId="1" fontId="0" fillId="21" borderId="38" xfId="0" applyNumberFormat="1" applyFill="1" applyBorder="1" applyAlignment="1">
      <alignment horizontal="center" vertical="center"/>
    </xf>
    <xf numFmtId="1" fontId="10" fillId="4" borderId="38" xfId="0" applyNumberFormat="1" applyFont="1" applyFill="1" applyBorder="1" applyAlignment="1">
      <alignment horizontal="center" vertical="center"/>
    </xf>
    <xf numFmtId="1" fontId="0" fillId="8" borderId="38" xfId="0" applyNumberFormat="1" applyFill="1" applyBorder="1" applyAlignment="1">
      <alignment horizontal="center"/>
    </xf>
    <xf numFmtId="1" fontId="0" fillId="8" borderId="44" xfId="0" applyNumberFormat="1" applyFill="1" applyBorder="1" applyAlignment="1">
      <alignment horizontal="center" vertical="center"/>
    </xf>
    <xf numFmtId="1" fontId="0" fillId="9" borderId="38" xfId="0" applyNumberFormat="1" applyFill="1" applyBorder="1" applyAlignment="1">
      <alignment horizontal="center"/>
    </xf>
    <xf numFmtId="1" fontId="0" fillId="10" borderId="38" xfId="0" applyNumberFormat="1" applyFill="1" applyBorder="1" applyAlignment="1">
      <alignment horizontal="center"/>
    </xf>
    <xf numFmtId="166" fontId="0" fillId="28" borderId="32" xfId="2" applyNumberFormat="1" applyFont="1" applyFill="1" applyBorder="1"/>
    <xf numFmtId="166" fontId="0" fillId="0" borderId="0" xfId="2" applyNumberFormat="1" applyFont="1" applyBorder="1" applyAlignment="1">
      <alignment horizontal="center"/>
    </xf>
    <xf numFmtId="166" fontId="0" fillId="0" borderId="0" xfId="2" applyNumberFormat="1" applyFont="1" applyBorder="1" applyAlignment="1">
      <alignment horizontal="center" wrapText="1"/>
    </xf>
    <xf numFmtId="166" fontId="0" fillId="29" borderId="0" xfId="2" applyNumberFormat="1" applyFont="1" applyFill="1" applyBorder="1" applyAlignment="1">
      <alignment horizontal="center"/>
    </xf>
    <xf numFmtId="166" fontId="0" fillId="0" borderId="17" xfId="2" applyNumberFormat="1" applyFont="1" applyBorder="1" applyAlignment="1">
      <alignment horizontal="center"/>
    </xf>
    <xf numFmtId="0" fontId="0" fillId="8" borderId="0" xfId="0" quotePrefix="1" applyFill="1" applyAlignment="1">
      <alignment horizontal="center"/>
    </xf>
    <xf numFmtId="0" fontId="39" fillId="0" borderId="0" xfId="0" applyFont="1" applyAlignment="1">
      <alignment horizontal="left" vertical="center"/>
    </xf>
    <xf numFmtId="0" fontId="39" fillId="0" borderId="0" xfId="0" applyFont="1"/>
    <xf numFmtId="0" fontId="3" fillId="19" borderId="53" xfId="0" applyFont="1" applyFill="1" applyBorder="1" applyAlignment="1">
      <alignment horizontal="center"/>
    </xf>
    <xf numFmtId="0" fontId="0" fillId="19" borderId="3" xfId="0" applyFill="1" applyBorder="1" applyAlignment="1">
      <alignment horizontal="center"/>
    </xf>
    <xf numFmtId="0" fontId="0" fillId="8" borderId="62" xfId="0" applyFill="1" applyBorder="1"/>
    <xf numFmtId="0" fontId="0" fillId="2" borderId="74" xfId="0" applyFill="1" applyBorder="1" applyAlignment="1">
      <alignment horizontal="center" vertical="center"/>
    </xf>
    <xf numFmtId="0" fontId="3" fillId="15" borderId="0" xfId="0" applyFont="1" applyFill="1" applyAlignment="1">
      <alignment vertical="center"/>
    </xf>
    <xf numFmtId="0" fontId="7" fillId="15" borderId="0" xfId="0" applyFont="1" applyFill="1"/>
    <xf numFmtId="0" fontId="3" fillId="15" borderId="0" xfId="0" applyFont="1" applyFill="1"/>
    <xf numFmtId="0" fontId="0" fillId="15" borderId="0" xfId="0" applyFill="1" applyAlignment="1">
      <alignment horizontal="left" vertical="top"/>
    </xf>
    <xf numFmtId="0" fontId="0" fillId="15" borderId="0" xfId="0" applyFill="1" applyAlignment="1">
      <alignment wrapText="1"/>
    </xf>
    <xf numFmtId="0" fontId="7" fillId="15" borderId="0" xfId="0" applyFont="1" applyFill="1" applyAlignment="1">
      <alignment horizontal="center"/>
    </xf>
    <xf numFmtId="0" fontId="16" fillId="15" borderId="0" xfId="0" applyFont="1" applyFill="1" applyAlignment="1">
      <alignment horizontal="center"/>
    </xf>
    <xf numFmtId="0" fontId="3" fillId="15" borderId="0" xfId="0" applyFont="1" applyFill="1" applyAlignment="1">
      <alignment horizontal="center" vertical="center"/>
    </xf>
    <xf numFmtId="0" fontId="0" fillId="15" borderId="0" xfId="0" applyFill="1" applyAlignment="1">
      <alignment vertical="center"/>
    </xf>
    <xf numFmtId="2" fontId="7" fillId="15" borderId="0" xfId="0" applyNumberFormat="1" applyFont="1" applyFill="1" applyAlignment="1">
      <alignment vertical="center"/>
    </xf>
    <xf numFmtId="1" fontId="7" fillId="15" borderId="0" xfId="0" applyNumberFormat="1" applyFont="1" applyFill="1" applyAlignment="1">
      <alignment vertical="center"/>
    </xf>
    <xf numFmtId="0" fontId="0" fillId="19" borderId="11" xfId="0" applyFill="1" applyBorder="1"/>
    <xf numFmtId="165" fontId="4" fillId="0" borderId="12" xfId="0" applyNumberFormat="1" applyFont="1" applyBorder="1" applyAlignment="1">
      <alignment horizontal="center"/>
    </xf>
    <xf numFmtId="0" fontId="4" fillId="0" borderId="12" xfId="0" applyFont="1" applyBorder="1" applyAlignment="1">
      <alignment horizontal="center" vertical="center"/>
    </xf>
    <xf numFmtId="0" fontId="16" fillId="15" borderId="0" xfId="0" applyFont="1" applyFill="1"/>
    <xf numFmtId="0" fontId="24" fillId="15" borderId="0" xfId="0" applyFont="1" applyFill="1"/>
    <xf numFmtId="0" fontId="0" fillId="19" borderId="11" xfId="0" applyFill="1" applyBorder="1" applyAlignment="1">
      <alignment horizontal="left"/>
    </xf>
    <xf numFmtId="1" fontId="0" fillId="19" borderId="3" xfId="0" applyNumberFormat="1" applyFill="1" applyBorder="1" applyAlignment="1">
      <alignment horizontal="center"/>
    </xf>
    <xf numFmtId="1" fontId="4" fillId="0" borderId="12" xfId="0" applyNumberFormat="1" applyFont="1" applyBorder="1" applyAlignment="1">
      <alignment horizontal="center"/>
    </xf>
    <xf numFmtId="0" fontId="0" fillId="0" borderId="11" xfId="0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0" fontId="0" fillId="19" borderId="11" xfId="0" quotePrefix="1" applyFill="1" applyBorder="1" applyAlignment="1">
      <alignment horizontal="left"/>
    </xf>
    <xf numFmtId="165" fontId="3" fillId="12" borderId="29" xfId="0" applyNumberFormat="1" applyFont="1" applyFill="1" applyBorder="1" applyAlignment="1">
      <alignment horizontal="center"/>
    </xf>
    <xf numFmtId="0" fontId="7" fillId="24" borderId="56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7" fillId="24" borderId="26" xfId="0" applyFont="1" applyFill="1" applyBorder="1" applyAlignment="1">
      <alignment horizontal="center" vertical="center"/>
    </xf>
    <xf numFmtId="0" fontId="0" fillId="8" borderId="0" xfId="0" applyFill="1" applyAlignment="1">
      <alignment horizontal="left"/>
    </xf>
    <xf numFmtId="0" fontId="0" fillId="19" borderId="32" xfId="0" applyFill="1" applyBorder="1" applyAlignment="1">
      <alignment horizontal="center"/>
    </xf>
    <xf numFmtId="0" fontId="43" fillId="0" borderId="0" xfId="4"/>
    <xf numFmtId="0" fontId="0" fillId="8" borderId="41" xfId="0" applyFill="1" applyBorder="1" applyAlignment="1">
      <alignment horizontal="center"/>
    </xf>
    <xf numFmtId="0" fontId="0" fillId="8" borderId="37" xfId="0" applyFill="1" applyBorder="1" applyAlignment="1">
      <alignment horizontal="center" vertical="center"/>
    </xf>
    <xf numFmtId="0" fontId="0" fillId="8" borderId="70" xfId="0" applyFill="1" applyBorder="1" applyAlignment="1">
      <alignment horizontal="center"/>
    </xf>
    <xf numFmtId="0" fontId="0" fillId="8" borderId="37" xfId="0" applyFill="1" applyBorder="1" applyAlignment="1">
      <alignment horizontal="center"/>
    </xf>
    <xf numFmtId="1" fontId="0" fillId="0" borderId="0" xfId="0" applyNumberFormat="1" applyAlignment="1">
      <alignment horizontal="center"/>
    </xf>
    <xf numFmtId="165" fontId="10" fillId="0" borderId="10" xfId="0" applyNumberFormat="1" applyFont="1" applyBorder="1" applyAlignment="1">
      <alignment horizontal="center"/>
    </xf>
    <xf numFmtId="170" fontId="0" fillId="0" borderId="0" xfId="2" applyNumberFormat="1" applyFont="1"/>
    <xf numFmtId="170" fontId="0" fillId="0" borderId="36" xfId="2" applyNumberFormat="1" applyFont="1" applyBorder="1"/>
    <xf numFmtId="170" fontId="0" fillId="0" borderId="0" xfId="2" applyNumberFormat="1" applyFont="1" applyBorder="1"/>
    <xf numFmtId="170" fontId="0" fillId="0" borderId="4" xfId="2" applyNumberFormat="1" applyFont="1" applyBorder="1"/>
    <xf numFmtId="0" fontId="0" fillId="0" borderId="37" xfId="0" applyBorder="1"/>
    <xf numFmtId="2" fontId="0" fillId="0" borderId="40" xfId="0" applyNumberFormat="1" applyBorder="1"/>
    <xf numFmtId="2" fontId="0" fillId="0" borderId="17" xfId="0" applyNumberFormat="1" applyBorder="1"/>
    <xf numFmtId="0" fontId="0" fillId="0" borderId="36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2" fontId="0" fillId="0" borderId="17" xfId="0" applyNumberFormat="1" applyBorder="1" applyAlignment="1">
      <alignment horizontal="center" vertical="center"/>
    </xf>
    <xf numFmtId="2" fontId="0" fillId="0" borderId="38" xfId="0" applyNumberFormat="1" applyBorder="1"/>
    <xf numFmtId="0" fontId="0" fillId="0" borderId="35" xfId="0" applyBorder="1"/>
    <xf numFmtId="0" fontId="24" fillId="0" borderId="41" xfId="0" applyFont="1" applyBorder="1"/>
    <xf numFmtId="0" fontId="24" fillId="0" borderId="42" xfId="0" applyFont="1" applyBorder="1"/>
    <xf numFmtId="0" fontId="24" fillId="0" borderId="43" xfId="0" applyFont="1" applyBorder="1"/>
    <xf numFmtId="2" fontId="0" fillId="0" borderId="37" xfId="0" applyNumberFormat="1" applyBorder="1"/>
    <xf numFmtId="0" fontId="24" fillId="0" borderId="32" xfId="0" applyFont="1" applyBorder="1"/>
    <xf numFmtId="0" fontId="0" fillId="0" borderId="78" xfId="0" applyBorder="1"/>
    <xf numFmtId="0" fontId="0" fillId="0" borderId="23" xfId="0" applyBorder="1"/>
    <xf numFmtId="0" fontId="0" fillId="0" borderId="40" xfId="0" applyBorder="1"/>
    <xf numFmtId="43" fontId="0" fillId="24" borderId="28" xfId="2" applyFont="1" applyFill="1" applyBorder="1"/>
    <xf numFmtId="0" fontId="0" fillId="24" borderId="29" xfId="0" applyFill="1" applyBorder="1"/>
    <xf numFmtId="2" fontId="0" fillId="24" borderId="28" xfId="0" applyNumberFormat="1" applyFill="1" applyBorder="1"/>
    <xf numFmtId="0" fontId="0" fillId="0" borderId="38" xfId="0" applyBorder="1"/>
    <xf numFmtId="0" fontId="0" fillId="0" borderId="39" xfId="0" applyBorder="1"/>
    <xf numFmtId="1" fontId="2" fillId="0" borderId="0" xfId="1" applyNumberFormat="1" applyFont="1" applyFill="1" applyBorder="1" applyAlignment="1">
      <alignment horizontal="center"/>
    </xf>
    <xf numFmtId="2" fontId="2" fillId="0" borderId="0" xfId="0" applyNumberFormat="1" applyFont="1" applyAlignment="1">
      <alignment horizontal="center"/>
    </xf>
    <xf numFmtId="0" fontId="0" fillId="0" borderId="79" xfId="0" applyBorder="1"/>
    <xf numFmtId="0" fontId="0" fillId="0" borderId="3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9" xfId="0" applyBorder="1" applyAlignment="1">
      <alignment horizontal="center"/>
    </xf>
    <xf numFmtId="0" fontId="29" fillId="0" borderId="0" xfId="0" applyFont="1"/>
    <xf numFmtId="0" fontId="0" fillId="0" borderId="37" xfId="0" applyBorder="1" applyAlignment="1">
      <alignment horizontal="center"/>
    </xf>
    <xf numFmtId="165" fontId="0" fillId="0" borderId="35" xfId="0" applyNumberFormat="1" applyBorder="1" applyAlignment="1">
      <alignment horizontal="center"/>
    </xf>
    <xf numFmtId="165" fontId="0" fillId="0" borderId="38" xfId="0" applyNumberFormat="1" applyBorder="1" applyAlignment="1">
      <alignment horizontal="center"/>
    </xf>
    <xf numFmtId="165" fontId="0" fillId="0" borderId="36" xfId="0" applyNumberFormat="1" applyBorder="1" applyAlignment="1">
      <alignment horizontal="center"/>
    </xf>
    <xf numFmtId="0" fontId="0" fillId="0" borderId="40" xfId="0" applyBorder="1" applyAlignment="1">
      <alignment horizontal="center"/>
    </xf>
    <xf numFmtId="0" fontId="44" fillId="0" borderId="0" xfId="0" applyFont="1"/>
    <xf numFmtId="9" fontId="9" fillId="0" borderId="0" xfId="1" applyFont="1" applyBorder="1"/>
    <xf numFmtId="16" fontId="0" fillId="0" borderId="0" xfId="0" quotePrefix="1" applyNumberFormat="1"/>
    <xf numFmtId="0" fontId="0" fillId="2" borderId="79" xfId="0" applyFill="1" applyBorder="1" applyAlignment="1">
      <alignment horizontal="center"/>
    </xf>
    <xf numFmtId="0" fontId="0" fillId="19" borderId="12" xfId="0" applyFill="1" applyBorder="1"/>
    <xf numFmtId="16" fontId="0" fillId="0" borderId="0" xfId="0" quotePrefix="1" applyNumberFormat="1" applyAlignment="1">
      <alignment horizontal="center"/>
    </xf>
    <xf numFmtId="17" fontId="0" fillId="0" borderId="0" xfId="0" quotePrefix="1" applyNumberFormat="1" applyAlignment="1">
      <alignment horizontal="center"/>
    </xf>
    <xf numFmtId="16" fontId="0" fillId="0" borderId="39" xfId="0" applyNumberFormat="1" applyBorder="1"/>
    <xf numFmtId="0" fontId="0" fillId="2" borderId="28" xfId="0" applyFill="1" applyBorder="1" applyAlignment="1">
      <alignment horizontal="center" vertical="center"/>
    </xf>
    <xf numFmtId="2" fontId="23" fillId="0" borderId="17" xfId="0" applyNumberFormat="1" applyFont="1" applyBorder="1" applyAlignment="1">
      <alignment horizontal="center" vertical="center"/>
    </xf>
    <xf numFmtId="0" fontId="0" fillId="19" borderId="30" xfId="0" applyFill="1" applyBorder="1" applyAlignment="1">
      <alignment horizontal="center"/>
    </xf>
    <xf numFmtId="0" fontId="0" fillId="0" borderId="41" xfId="0" applyBorder="1" applyAlignment="1">
      <alignment horizontal="center" vertical="center"/>
    </xf>
    <xf numFmtId="0" fontId="10" fillId="0" borderId="12" xfId="0" applyFont="1" applyBorder="1"/>
    <xf numFmtId="2" fontId="0" fillId="0" borderId="4" xfId="0" applyNumberForma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2" fontId="22" fillId="0" borderId="17" xfId="0" applyNumberFormat="1" applyFont="1" applyBorder="1" applyAlignment="1">
      <alignment horizontal="center" vertical="center"/>
    </xf>
    <xf numFmtId="1" fontId="22" fillId="0" borderId="17" xfId="0" applyNumberFormat="1" applyFont="1" applyBorder="1" applyAlignment="1">
      <alignment horizontal="center" vertical="center"/>
    </xf>
    <xf numFmtId="2" fontId="22" fillId="0" borderId="40" xfId="0" applyNumberFormat="1" applyFont="1" applyBorder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3" fillId="14" borderId="27" xfId="0" applyFont="1" applyFill="1" applyBorder="1" applyAlignment="1">
      <alignment horizontal="center" vertical="center"/>
    </xf>
    <xf numFmtId="0" fontId="3" fillId="14" borderId="12" xfId="0" applyFont="1" applyFill="1" applyBorder="1" applyAlignment="1">
      <alignment horizontal="center" vertical="center"/>
    </xf>
    <xf numFmtId="0" fontId="0" fillId="14" borderId="9" xfId="0" applyFill="1" applyBorder="1" applyAlignment="1">
      <alignment horizontal="center"/>
    </xf>
    <xf numFmtId="0" fontId="0" fillId="14" borderId="0" xfId="0" applyFill="1" applyAlignment="1">
      <alignment horizontal="center"/>
    </xf>
    <xf numFmtId="0" fontId="0" fillId="14" borderId="10" xfId="0" applyFill="1" applyBorder="1" applyAlignment="1">
      <alignment horizontal="center"/>
    </xf>
    <xf numFmtId="0" fontId="0" fillId="14" borderId="21" xfId="0" applyFill="1" applyBorder="1" applyAlignment="1">
      <alignment horizontal="center"/>
    </xf>
    <xf numFmtId="0" fontId="0" fillId="14" borderId="17" xfId="0" applyFill="1" applyBorder="1" applyAlignment="1">
      <alignment horizontal="center"/>
    </xf>
    <xf numFmtId="0" fontId="0" fillId="14" borderId="22" xfId="0" applyFill="1" applyBorder="1" applyAlignment="1">
      <alignment horizontal="center"/>
    </xf>
    <xf numFmtId="1" fontId="0" fillId="14" borderId="9" xfId="0" applyNumberFormat="1" applyFill="1" applyBorder="1" applyAlignment="1">
      <alignment horizontal="center" vertical="center"/>
    </xf>
    <xf numFmtId="1" fontId="0" fillId="14" borderId="0" xfId="0" applyNumberFormat="1" applyFill="1" applyAlignment="1">
      <alignment horizontal="center" vertical="center"/>
    </xf>
    <xf numFmtId="1" fontId="0" fillId="14" borderId="44" xfId="0" applyNumberFormat="1" applyFill="1" applyBorder="1" applyAlignment="1">
      <alignment horizontal="center" vertical="center"/>
    </xf>
    <xf numFmtId="1" fontId="0" fillId="14" borderId="10" xfId="0" applyNumberFormat="1" applyFill="1" applyBorder="1" applyAlignment="1">
      <alignment horizontal="center" vertical="center"/>
    </xf>
    <xf numFmtId="1" fontId="0" fillId="14" borderId="17" xfId="0" applyNumberFormat="1" applyFill="1" applyBorder="1" applyAlignment="1">
      <alignment horizontal="center" vertical="center"/>
    </xf>
    <xf numFmtId="1" fontId="0" fillId="14" borderId="46" xfId="0" applyNumberFormat="1" applyFill="1" applyBorder="1" applyAlignment="1">
      <alignment horizontal="center" vertical="center"/>
    </xf>
    <xf numFmtId="1" fontId="0" fillId="14" borderId="38" xfId="0" applyNumberFormat="1" applyFill="1" applyBorder="1" applyAlignment="1">
      <alignment horizontal="center" vertical="center"/>
    </xf>
    <xf numFmtId="1" fontId="0" fillId="14" borderId="21" xfId="0" applyNumberFormat="1" applyFill="1" applyBorder="1" applyAlignment="1">
      <alignment horizontal="center" vertical="center"/>
    </xf>
    <xf numFmtId="1" fontId="0" fillId="14" borderId="22" xfId="0" applyNumberFormat="1" applyFill="1" applyBorder="1" applyAlignment="1">
      <alignment horizontal="center" vertical="center"/>
    </xf>
    <xf numFmtId="1" fontId="0" fillId="14" borderId="11" xfId="0" applyNumberFormat="1" applyFill="1" applyBorder="1" applyAlignment="1">
      <alignment horizontal="center" vertical="center"/>
    </xf>
    <xf numFmtId="1" fontId="0" fillId="14" borderId="3" xfId="0" applyNumberFormat="1" applyFill="1" applyBorder="1" applyAlignment="1">
      <alignment horizontal="center" vertical="center"/>
    </xf>
    <xf numFmtId="1" fontId="0" fillId="14" borderId="12" xfId="0" applyNumberFormat="1" applyFill="1" applyBorder="1" applyAlignment="1">
      <alignment horizontal="center" vertical="center"/>
    </xf>
    <xf numFmtId="1" fontId="0" fillId="14" borderId="0" xfId="0" applyNumberFormat="1" applyFill="1" applyAlignment="1">
      <alignment horizontal="center"/>
    </xf>
    <xf numFmtId="1" fontId="0" fillId="14" borderId="38" xfId="0" applyNumberFormat="1" applyFill="1" applyBorder="1" applyAlignment="1">
      <alignment horizontal="center"/>
    </xf>
    <xf numFmtId="1" fontId="0" fillId="14" borderId="17" xfId="0" applyNumberFormat="1" applyFill="1" applyBorder="1" applyAlignment="1">
      <alignment horizontal="center"/>
    </xf>
    <xf numFmtId="1" fontId="4" fillId="14" borderId="0" xfId="0" applyNumberFormat="1" applyFont="1" applyFill="1" applyAlignment="1">
      <alignment horizontal="center" vertical="center"/>
    </xf>
    <xf numFmtId="1" fontId="4" fillId="14" borderId="0" xfId="0" applyNumberFormat="1" applyFont="1" applyFill="1" applyAlignment="1">
      <alignment horizontal="center"/>
    </xf>
    <xf numFmtId="0" fontId="0" fillId="8" borderId="0" xfId="0" quotePrefix="1" applyFill="1" applyAlignment="1">
      <alignment horizontal="center" vertical="center"/>
    </xf>
    <xf numFmtId="165" fontId="0" fillId="2" borderId="0" xfId="0" applyNumberFormat="1" applyFill="1" applyAlignment="1">
      <alignment horizontal="center"/>
    </xf>
    <xf numFmtId="0" fontId="10" fillId="0" borderId="10" xfId="0" quotePrefix="1" applyFont="1" applyBorder="1"/>
    <xf numFmtId="0" fontId="10" fillId="0" borderId="10" xfId="0" applyFont="1" applyBorder="1"/>
    <xf numFmtId="9" fontId="0" fillId="0" borderId="36" xfId="1" applyFont="1" applyBorder="1"/>
    <xf numFmtId="9" fontId="0" fillId="0" borderId="0" xfId="1" applyFont="1"/>
    <xf numFmtId="9" fontId="0" fillId="0" borderId="37" xfId="1" applyFont="1" applyBorder="1"/>
    <xf numFmtId="9" fontId="0" fillId="0" borderId="17" xfId="1" applyFont="1" applyBorder="1"/>
    <xf numFmtId="9" fontId="0" fillId="0" borderId="40" xfId="1" applyFont="1" applyBorder="1"/>
    <xf numFmtId="0" fontId="3" fillId="0" borderId="17" xfId="0" applyFont="1" applyBorder="1" applyAlignment="1">
      <alignment horizontal="center"/>
    </xf>
    <xf numFmtId="0" fontId="3" fillId="0" borderId="37" xfId="0" applyFont="1" applyBorder="1" applyAlignment="1">
      <alignment horizontal="center"/>
    </xf>
    <xf numFmtId="0" fontId="3" fillId="0" borderId="40" xfId="0" applyFont="1" applyBorder="1" applyAlignment="1">
      <alignment horizontal="center"/>
    </xf>
    <xf numFmtId="166" fontId="17" fillId="18" borderId="25" xfId="2" applyNumberFormat="1" applyFont="1" applyFill="1" applyBorder="1"/>
    <xf numFmtId="166" fontId="17" fillId="18" borderId="32" xfId="2" applyNumberFormat="1" applyFont="1" applyFill="1" applyBorder="1"/>
    <xf numFmtId="166" fontId="17" fillId="18" borderId="32" xfId="2" applyNumberFormat="1" applyFont="1" applyFill="1" applyBorder="1" applyAlignment="1">
      <alignment vertical="center"/>
    </xf>
    <xf numFmtId="166" fontId="17" fillId="18" borderId="28" xfId="2" applyNumberFormat="1" applyFont="1" applyFill="1" applyBorder="1" applyAlignment="1">
      <alignment vertical="center"/>
    </xf>
    <xf numFmtId="166" fontId="17" fillId="18" borderId="25" xfId="2" applyNumberFormat="1" applyFont="1" applyFill="1" applyBorder="1" applyAlignment="1">
      <alignment horizontal="center" vertical="center"/>
    </xf>
    <xf numFmtId="166" fontId="17" fillId="18" borderId="26" xfId="2" applyNumberFormat="1" applyFont="1" applyFill="1" applyBorder="1" applyAlignment="1">
      <alignment horizontal="center" vertical="center"/>
    </xf>
    <xf numFmtId="43" fontId="3" fillId="0" borderId="76" xfId="2" applyFont="1" applyBorder="1" applyAlignment="1">
      <alignment horizontal="center" vertical="center"/>
    </xf>
    <xf numFmtId="43" fontId="3" fillId="0" borderId="72" xfId="2" applyFont="1" applyBorder="1" applyAlignment="1">
      <alignment horizontal="center" vertical="center"/>
    </xf>
    <xf numFmtId="43" fontId="3" fillId="0" borderId="55" xfId="2" applyFont="1" applyBorder="1" applyAlignment="1">
      <alignment horizontal="center" vertical="center"/>
    </xf>
    <xf numFmtId="43" fontId="3" fillId="0" borderId="73" xfId="2" applyFont="1" applyBorder="1" applyAlignment="1">
      <alignment horizontal="center" vertical="center"/>
    </xf>
    <xf numFmtId="43" fontId="3" fillId="0" borderId="44" xfId="2" applyFont="1" applyBorder="1" applyAlignment="1">
      <alignment horizontal="center" vertical="center"/>
    </xf>
    <xf numFmtId="43" fontId="3" fillId="11" borderId="16" xfId="2" applyFont="1" applyFill="1" applyBorder="1" applyAlignment="1">
      <alignment horizontal="center" vertical="center"/>
    </xf>
    <xf numFmtId="43" fontId="3" fillId="0" borderId="14" xfId="2" applyFont="1" applyBorder="1" applyAlignment="1">
      <alignment horizontal="center" vertical="center"/>
    </xf>
    <xf numFmtId="43" fontId="3" fillId="11" borderId="16" xfId="2" applyFont="1" applyFill="1" applyBorder="1" applyAlignment="1" applyProtection="1">
      <alignment horizontal="center" vertical="center"/>
      <protection locked="0"/>
    </xf>
    <xf numFmtId="43" fontId="3" fillId="11" borderId="5" xfId="2" applyFont="1" applyFill="1" applyBorder="1" applyAlignment="1">
      <alignment horizontal="center" vertical="center"/>
    </xf>
    <xf numFmtId="0" fontId="20" fillId="12" borderId="56" xfId="0" applyFont="1" applyFill="1" applyBorder="1"/>
    <xf numFmtId="0" fontId="20" fillId="12" borderId="60" xfId="0" applyFont="1" applyFill="1" applyBorder="1"/>
    <xf numFmtId="0" fontId="20" fillId="12" borderId="29" xfId="0" applyFont="1" applyFill="1" applyBorder="1"/>
    <xf numFmtId="0" fontId="0" fillId="8" borderId="40" xfId="0" applyFill="1" applyBorder="1"/>
    <xf numFmtId="0" fontId="0" fillId="8" borderId="43" xfId="0" applyFill="1" applyBorder="1"/>
    <xf numFmtId="0" fontId="0" fillId="8" borderId="69" xfId="0" applyFill="1" applyBorder="1"/>
    <xf numFmtId="0" fontId="0" fillId="8" borderId="47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3" fillId="8" borderId="50" xfId="0" applyFont="1" applyFill="1" applyBorder="1" applyAlignment="1">
      <alignment horizontal="center" vertical="center"/>
    </xf>
    <xf numFmtId="0" fontId="6" fillId="8" borderId="34" xfId="0" applyFont="1" applyFill="1" applyBorder="1" applyAlignment="1">
      <alignment horizontal="center" vertical="center"/>
    </xf>
    <xf numFmtId="0" fontId="6" fillId="8" borderId="68" xfId="0" applyFont="1" applyFill="1" applyBorder="1" applyAlignment="1">
      <alignment horizontal="center" vertical="center"/>
    </xf>
    <xf numFmtId="0" fontId="6" fillId="8" borderId="77" xfId="0" applyFont="1" applyFill="1" applyBorder="1" applyAlignment="1">
      <alignment horizontal="center" vertical="center" wrapText="1"/>
    </xf>
    <xf numFmtId="0" fontId="6" fillId="8" borderId="74" xfId="0" applyFont="1" applyFill="1" applyBorder="1" applyAlignment="1">
      <alignment horizontal="center" vertical="center"/>
    </xf>
    <xf numFmtId="0" fontId="0" fillId="8" borderId="56" xfId="0" applyFill="1" applyBorder="1" applyAlignment="1">
      <alignment horizontal="left"/>
    </xf>
    <xf numFmtId="0" fontId="0" fillId="8" borderId="60" xfId="0" applyFill="1" applyBorder="1" applyAlignment="1">
      <alignment horizontal="left"/>
    </xf>
    <xf numFmtId="0" fontId="0" fillId="8" borderId="60" xfId="0" applyFill="1" applyBorder="1" applyAlignment="1">
      <alignment horizontal="left" vertical="center"/>
    </xf>
    <xf numFmtId="0" fontId="0" fillId="8" borderId="29" xfId="0" applyFill="1" applyBorder="1" applyAlignment="1">
      <alignment horizontal="left"/>
    </xf>
    <xf numFmtId="0" fontId="21" fillId="0" borderId="9" xfId="0" applyFont="1" applyBorder="1"/>
    <xf numFmtId="0" fontId="21" fillId="0" borderId="11" xfId="0" applyFont="1" applyBorder="1"/>
    <xf numFmtId="0" fontId="23" fillId="0" borderId="3" xfId="0" applyFont="1" applyBorder="1"/>
    <xf numFmtId="0" fontId="21" fillId="0" borderId="10" xfId="0" applyFont="1" applyBorder="1"/>
    <xf numFmtId="0" fontId="21" fillId="0" borderId="3" xfId="0" applyFont="1" applyBorder="1"/>
    <xf numFmtId="0" fontId="21" fillId="0" borderId="12" xfId="0" applyFont="1" applyBorder="1"/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3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2" borderId="44" xfId="0" applyFill="1" applyBorder="1" applyAlignment="1">
      <alignment horizontal="center"/>
    </xf>
    <xf numFmtId="0" fontId="0" fillId="0" borderId="23" xfId="0" applyBorder="1" applyAlignment="1">
      <alignment horizontal="center"/>
    </xf>
    <xf numFmtId="16" fontId="39" fillId="0" borderId="39" xfId="0" applyNumberFormat="1" applyFont="1" applyBorder="1" applyAlignment="1">
      <alignment horizontal="center"/>
    </xf>
    <xf numFmtId="0" fontId="39" fillId="0" borderId="4" xfId="0" applyFont="1" applyBorder="1" applyAlignment="1">
      <alignment horizontal="center"/>
    </xf>
    <xf numFmtId="170" fontId="0" fillId="0" borderId="78" xfId="2" applyNumberFormat="1" applyFont="1" applyBorder="1"/>
    <xf numFmtId="170" fontId="0" fillId="0" borderId="23" xfId="2" applyNumberFormat="1" applyFont="1" applyBorder="1"/>
    <xf numFmtId="170" fontId="0" fillId="0" borderId="37" xfId="2" applyNumberFormat="1" applyFont="1" applyBorder="1"/>
    <xf numFmtId="170" fontId="0" fillId="0" borderId="17" xfId="2" applyNumberFormat="1" applyFont="1" applyBorder="1"/>
    <xf numFmtId="170" fontId="0" fillId="0" borderId="40" xfId="2" applyNumberFormat="1" applyFont="1" applyBorder="1"/>
    <xf numFmtId="0" fontId="0" fillId="0" borderId="53" xfId="0" applyBorder="1" applyAlignment="1">
      <alignment horizontal="center"/>
    </xf>
    <xf numFmtId="0" fontId="0" fillId="0" borderId="60" xfId="0" applyBorder="1" applyAlignment="1">
      <alignment horizontal="center"/>
    </xf>
    <xf numFmtId="165" fontId="0" fillId="0" borderId="9" xfId="0" applyNumberFormat="1" applyBorder="1" applyAlignment="1">
      <alignment horizontal="center"/>
    </xf>
    <xf numFmtId="165" fontId="0" fillId="0" borderId="11" xfId="0" applyNumberFormat="1" applyBorder="1" applyAlignment="1">
      <alignment horizontal="center"/>
    </xf>
    <xf numFmtId="165" fontId="0" fillId="0" borderId="59" xfId="0" applyNumberFormat="1" applyBorder="1" applyAlignment="1">
      <alignment horizontal="center"/>
    </xf>
    <xf numFmtId="165" fontId="0" fillId="0" borderId="66" xfId="0" applyNumberFormat="1" applyBorder="1" applyAlignment="1">
      <alignment horizontal="center"/>
    </xf>
    <xf numFmtId="0" fontId="24" fillId="0" borderId="0" xfId="0" applyFont="1" applyAlignment="1">
      <alignment vertical="center" textRotation="90"/>
    </xf>
    <xf numFmtId="0" fontId="0" fillId="0" borderId="47" xfId="0" applyBorder="1" applyAlignment="1">
      <alignment horizontal="center"/>
    </xf>
    <xf numFmtId="0" fontId="0" fillId="0" borderId="60" xfId="0" applyBorder="1" applyAlignment="1">
      <alignment horizontal="center" vertical="center"/>
    </xf>
    <xf numFmtId="9" fontId="0" fillId="0" borderId="60" xfId="1" applyFont="1" applyBorder="1"/>
    <xf numFmtId="16" fontId="0" fillId="0" borderId="47" xfId="0" quotePrefix="1" applyNumberFormat="1" applyBorder="1" applyAlignment="1">
      <alignment horizontal="center"/>
    </xf>
    <xf numFmtId="0" fontId="0" fillId="0" borderId="47" xfId="0" quotePrefix="1" applyBorder="1" applyAlignment="1">
      <alignment horizontal="center"/>
    </xf>
    <xf numFmtId="0" fontId="0" fillId="0" borderId="48" xfId="0" applyBorder="1" applyAlignment="1">
      <alignment horizontal="center"/>
    </xf>
    <xf numFmtId="9" fontId="0" fillId="0" borderId="29" xfId="1" applyFont="1" applyBorder="1"/>
    <xf numFmtId="0" fontId="0" fillId="0" borderId="63" xfId="0" applyBorder="1" applyAlignment="1">
      <alignment horizontal="center"/>
    </xf>
    <xf numFmtId="0" fontId="44" fillId="0" borderId="50" xfId="0" applyFont="1" applyBorder="1"/>
    <xf numFmtId="0" fontId="44" fillId="0" borderId="26" xfId="0" applyFont="1" applyBorder="1"/>
    <xf numFmtId="0" fontId="0" fillId="0" borderId="53" xfId="0" applyBorder="1" applyAlignment="1">
      <alignment horizontal="center" vertical="center"/>
    </xf>
    <xf numFmtId="9" fontId="9" fillId="0" borderId="47" xfId="1" applyFont="1" applyBorder="1"/>
    <xf numFmtId="9" fontId="0" fillId="0" borderId="47" xfId="1" applyFont="1" applyBorder="1"/>
    <xf numFmtId="0" fontId="0" fillId="0" borderId="79" xfId="0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78" xfId="0" applyNumberFormat="1" applyBorder="1" applyAlignment="1">
      <alignment horizontal="center"/>
    </xf>
    <xf numFmtId="0" fontId="29" fillId="0" borderId="36" xfId="0" applyFont="1" applyBorder="1" applyAlignment="1">
      <alignment horizontal="center" vertical="center" wrapText="1"/>
    </xf>
    <xf numFmtId="2" fontId="0" fillId="0" borderId="4" xfId="0" applyNumberFormat="1" applyBorder="1" applyAlignment="1">
      <alignment horizontal="center"/>
    </xf>
    <xf numFmtId="0" fontId="29" fillId="0" borderId="36" xfId="0" applyFont="1" applyBorder="1" applyAlignment="1">
      <alignment horizontal="center" vertical="center"/>
    </xf>
    <xf numFmtId="0" fontId="29" fillId="0" borderId="37" xfId="0" applyFont="1" applyBorder="1" applyAlignment="1">
      <alignment horizontal="center" vertical="center"/>
    </xf>
    <xf numFmtId="2" fontId="0" fillId="0" borderId="40" xfId="0" applyNumberFormat="1" applyBorder="1" applyAlignment="1">
      <alignment horizontal="center"/>
    </xf>
    <xf numFmtId="2" fontId="0" fillId="0" borderId="36" xfId="0" applyNumberFormat="1" applyBorder="1" applyAlignment="1">
      <alignment horizontal="center"/>
    </xf>
    <xf numFmtId="2" fontId="0" fillId="0" borderId="37" xfId="0" applyNumberFormat="1" applyBorder="1" applyAlignment="1">
      <alignment horizontal="center"/>
    </xf>
    <xf numFmtId="2" fontId="0" fillId="0" borderId="17" xfId="0" applyNumberFormat="1" applyBorder="1" applyAlignment="1">
      <alignment horizontal="center"/>
    </xf>
    <xf numFmtId="2" fontId="0" fillId="0" borderId="78" xfId="0" applyNumberFormat="1" applyBorder="1"/>
    <xf numFmtId="2" fontId="0" fillId="0" borderId="23" xfId="0" applyNumberFormat="1" applyBorder="1"/>
    <xf numFmtId="0" fontId="0" fillId="0" borderId="22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69" xfId="0" applyBorder="1" applyAlignment="1">
      <alignment horizontal="center"/>
    </xf>
    <xf numFmtId="165" fontId="0" fillId="0" borderId="70" xfId="0" applyNumberFormat="1" applyBorder="1" applyAlignment="1">
      <alignment horizontal="center"/>
    </xf>
    <xf numFmtId="165" fontId="0" fillId="0" borderId="3" xfId="0" applyNumberFormat="1" applyBorder="1" applyAlignment="1">
      <alignment horizontal="center"/>
    </xf>
    <xf numFmtId="0" fontId="39" fillId="0" borderId="69" xfId="0" applyFont="1" applyBorder="1" applyAlignment="1">
      <alignment horizontal="center"/>
    </xf>
    <xf numFmtId="0" fontId="0" fillId="0" borderId="27" xfId="0" applyBorder="1" applyAlignment="1">
      <alignment horizontal="center"/>
    </xf>
    <xf numFmtId="16" fontId="0" fillId="0" borderId="64" xfId="0" quotePrefix="1" applyNumberFormat="1" applyBorder="1" applyAlignment="1">
      <alignment horizontal="center"/>
    </xf>
    <xf numFmtId="0" fontId="0" fillId="0" borderId="64" xfId="0" quotePrefix="1" applyBorder="1" applyAlignment="1">
      <alignment horizontal="center"/>
    </xf>
    <xf numFmtId="0" fontId="0" fillId="0" borderId="65" xfId="0" applyBorder="1" applyAlignment="1">
      <alignment horizontal="center"/>
    </xf>
    <xf numFmtId="0" fontId="0" fillId="2" borderId="37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22" xfId="0" applyFill="1" applyBorder="1" applyAlignment="1">
      <alignment horizontal="center"/>
    </xf>
    <xf numFmtId="165" fontId="0" fillId="2" borderId="35" xfId="0" applyNumberFormat="1" applyFill="1" applyBorder="1" applyAlignment="1">
      <alignment horizontal="center"/>
    </xf>
    <xf numFmtId="165" fontId="0" fillId="2" borderId="38" xfId="0" applyNumberFormat="1" applyFill="1" applyBorder="1" applyAlignment="1">
      <alignment horizontal="center"/>
    </xf>
    <xf numFmtId="165" fontId="0" fillId="2" borderId="36" xfId="0" applyNumberFormat="1" applyFill="1" applyBorder="1" applyAlignment="1">
      <alignment horizontal="center"/>
    </xf>
    <xf numFmtId="165" fontId="0" fillId="2" borderId="70" xfId="0" applyNumberFormat="1" applyFill="1" applyBorder="1" applyAlignment="1">
      <alignment horizontal="center"/>
    </xf>
    <xf numFmtId="165" fontId="0" fillId="2" borderId="3" xfId="0" applyNumberFormat="1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7" fillId="14" borderId="18" xfId="0" applyFont="1" applyFill="1" applyBorder="1" applyAlignment="1">
      <alignment horizontal="center" vertical="center"/>
    </xf>
    <xf numFmtId="0" fontId="7" fillId="0" borderId="47" xfId="0" applyFont="1" applyBorder="1" applyAlignment="1">
      <alignment horizontal="center" vertical="center"/>
    </xf>
    <xf numFmtId="0" fontId="0" fillId="2" borderId="62" xfId="0" applyFill="1" applyBorder="1" applyAlignment="1">
      <alignment horizontal="center"/>
    </xf>
    <xf numFmtId="0" fontId="0" fillId="19" borderId="69" xfId="0" applyFill="1" applyBorder="1" applyAlignment="1">
      <alignment horizontal="center"/>
    </xf>
    <xf numFmtId="0" fontId="3" fillId="19" borderId="66" xfId="0" applyFont="1" applyFill="1" applyBorder="1" applyAlignment="1">
      <alignment horizontal="center"/>
    </xf>
    <xf numFmtId="0" fontId="0" fillId="2" borderId="78" xfId="0" applyFill="1" applyBorder="1" applyAlignment="1">
      <alignment horizontal="center"/>
    </xf>
    <xf numFmtId="0" fontId="3" fillId="0" borderId="10" xfId="0" applyFont="1" applyBorder="1" applyAlignment="1">
      <alignment horizontal="left" vertical="center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0" fillId="0" borderId="46" xfId="0" applyBorder="1" applyAlignment="1">
      <alignment horizontal="center" textRotation="90" wrapText="1"/>
    </xf>
    <xf numFmtId="0" fontId="0" fillId="0" borderId="9" xfId="0" applyBorder="1" applyAlignment="1">
      <alignment horizontal="center" textRotation="90" wrapText="1"/>
    </xf>
    <xf numFmtId="0" fontId="0" fillId="0" borderId="11" xfId="0" applyBorder="1" applyAlignment="1">
      <alignment horizontal="center" textRotation="90" wrapText="1"/>
    </xf>
    <xf numFmtId="0" fontId="25" fillId="8" borderId="1" xfId="0" applyFont="1" applyFill="1" applyBorder="1" applyAlignment="1">
      <alignment horizontal="center"/>
    </xf>
    <xf numFmtId="0" fontId="25" fillId="8" borderId="2" xfId="0" applyFont="1" applyFill="1" applyBorder="1" applyAlignment="1">
      <alignment horizontal="center"/>
    </xf>
    <xf numFmtId="0" fontId="25" fillId="8" borderId="5" xfId="0" applyFont="1" applyFill="1" applyBorder="1" applyAlignment="1">
      <alignment horizontal="center"/>
    </xf>
    <xf numFmtId="0" fontId="0" fillId="0" borderId="9" xfId="0" applyBorder="1" applyAlignment="1">
      <alignment horizontal="center" textRotation="90"/>
    </xf>
    <xf numFmtId="0" fontId="0" fillId="0" borderId="11" xfId="0" applyBorder="1" applyAlignment="1">
      <alignment horizontal="center" textRotation="90"/>
    </xf>
    <xf numFmtId="0" fontId="25" fillId="8" borderId="6" xfId="0" applyFont="1" applyFill="1" applyBorder="1" applyAlignment="1">
      <alignment horizontal="center"/>
    </xf>
    <xf numFmtId="0" fontId="25" fillId="8" borderId="7" xfId="0" applyFont="1" applyFill="1" applyBorder="1" applyAlignment="1">
      <alignment horizontal="center"/>
    </xf>
    <xf numFmtId="0" fontId="25" fillId="8" borderId="8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16" fillId="8" borderId="6" xfId="0" applyFont="1" applyFill="1" applyBorder="1" applyAlignment="1">
      <alignment horizontal="center"/>
    </xf>
    <xf numFmtId="0" fontId="16" fillId="8" borderId="7" xfId="0" applyFont="1" applyFill="1" applyBorder="1" applyAlignment="1">
      <alignment horizontal="center"/>
    </xf>
    <xf numFmtId="0" fontId="16" fillId="8" borderId="8" xfId="0" applyFont="1" applyFill="1" applyBorder="1" applyAlignment="1">
      <alignment horizontal="center"/>
    </xf>
    <xf numFmtId="166" fontId="17" fillId="18" borderId="41" xfId="2" applyNumberFormat="1" applyFont="1" applyFill="1" applyBorder="1" applyAlignment="1">
      <alignment horizontal="center" vertical="center"/>
    </xf>
    <xf numFmtId="166" fontId="17" fillId="18" borderId="55" xfId="2" applyNumberFormat="1" applyFont="1" applyFill="1" applyBorder="1" applyAlignment="1">
      <alignment horizontal="center" vertical="center"/>
    </xf>
    <xf numFmtId="166" fontId="17" fillId="18" borderId="63" xfId="2" applyNumberFormat="1" applyFont="1" applyFill="1" applyBorder="1" applyAlignment="1">
      <alignment horizontal="center" vertical="center"/>
    </xf>
    <xf numFmtId="166" fontId="17" fillId="18" borderId="65" xfId="2" applyNumberFormat="1" applyFont="1" applyFill="1" applyBorder="1" applyAlignment="1">
      <alignment horizontal="center" vertical="center"/>
    </xf>
    <xf numFmtId="0" fontId="0" fillId="0" borderId="41" xfId="0" applyBorder="1" applyAlignment="1">
      <alignment horizontal="center" wrapText="1"/>
    </xf>
    <xf numFmtId="0" fontId="0" fillId="0" borderId="42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35" xfId="0" applyBorder="1" applyAlignment="1">
      <alignment horizontal="center" textRotation="90" wrapText="1"/>
    </xf>
    <xf numFmtId="0" fontId="0" fillId="0" borderId="36" xfId="0" applyBorder="1" applyAlignment="1">
      <alignment horizontal="center" textRotation="90" wrapText="1"/>
    </xf>
    <xf numFmtId="0" fontId="0" fillId="0" borderId="37" xfId="0" applyBorder="1" applyAlignment="1">
      <alignment horizontal="center" textRotation="90" wrapText="1"/>
    </xf>
    <xf numFmtId="166" fontId="17" fillId="18" borderId="43" xfId="2" applyNumberFormat="1" applyFont="1" applyFill="1" applyBorder="1" applyAlignment="1">
      <alignment horizontal="center" vertical="center"/>
    </xf>
    <xf numFmtId="0" fontId="3" fillId="9" borderId="18" xfId="0" applyFont="1" applyFill="1" applyBorder="1" applyAlignment="1">
      <alignment horizontal="center" vertical="center"/>
    </xf>
    <xf numFmtId="0" fontId="3" fillId="9" borderId="20" xfId="0" applyFont="1" applyFill="1" applyBorder="1" applyAlignment="1">
      <alignment horizontal="center" vertical="center"/>
    </xf>
    <xf numFmtId="0" fontId="3" fillId="10" borderId="18" xfId="0" applyFont="1" applyFill="1" applyBorder="1" applyAlignment="1">
      <alignment horizontal="center" vertical="center"/>
    </xf>
    <xf numFmtId="0" fontId="3" fillId="10" borderId="20" xfId="0" applyFont="1" applyFill="1" applyBorder="1" applyAlignment="1">
      <alignment horizontal="center" vertical="center"/>
    </xf>
    <xf numFmtId="0" fontId="17" fillId="19" borderId="47" xfId="0" applyFont="1" applyFill="1" applyBorder="1" applyAlignment="1">
      <alignment horizontal="center" vertical="center"/>
    </xf>
    <xf numFmtId="0" fontId="17" fillId="19" borderId="32" xfId="0" applyFont="1" applyFill="1" applyBorder="1" applyAlignment="1">
      <alignment horizontal="center" vertical="center"/>
    </xf>
    <xf numFmtId="0" fontId="0" fillId="19" borderId="1" xfId="0" applyFill="1" applyBorder="1" applyAlignment="1">
      <alignment horizontal="center"/>
    </xf>
    <xf numFmtId="0" fontId="0" fillId="19" borderId="2" xfId="0" applyFill="1" applyBorder="1" applyAlignment="1">
      <alignment horizontal="center"/>
    </xf>
    <xf numFmtId="0" fontId="0" fillId="19" borderId="70" xfId="0" applyFill="1" applyBorder="1" applyAlignment="1">
      <alignment horizontal="center"/>
    </xf>
    <xf numFmtId="0" fontId="0" fillId="19" borderId="12" xfId="0" applyFill="1" applyBorder="1" applyAlignment="1">
      <alignment horizontal="center"/>
    </xf>
    <xf numFmtId="0" fontId="17" fillId="19" borderId="50" xfId="0" applyFont="1" applyFill="1" applyBorder="1" applyAlignment="1">
      <alignment horizontal="center" vertical="center"/>
    </xf>
    <xf numFmtId="0" fontId="17" fillId="19" borderId="25" xfId="0" applyFont="1" applyFill="1" applyBorder="1" applyAlignment="1">
      <alignment horizontal="center" vertical="center"/>
    </xf>
    <xf numFmtId="0" fontId="0" fillId="19" borderId="35" xfId="0" applyFill="1" applyBorder="1" applyAlignment="1">
      <alignment horizontal="center"/>
    </xf>
    <xf numFmtId="0" fontId="0" fillId="19" borderId="44" xfId="0" applyFill="1" applyBorder="1" applyAlignment="1">
      <alignment horizontal="center"/>
    </xf>
    <xf numFmtId="0" fontId="0" fillId="2" borderId="36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3" fillId="18" borderId="71" xfId="0" applyFont="1" applyFill="1" applyBorder="1" applyAlignment="1">
      <alignment horizontal="center"/>
    </xf>
    <xf numFmtId="0" fontId="3" fillId="18" borderId="20" xfId="0" applyFont="1" applyFill="1" applyBorder="1" applyAlignment="1">
      <alignment horizontal="center"/>
    </xf>
    <xf numFmtId="0" fontId="17" fillId="19" borderId="48" xfId="0" applyFont="1" applyFill="1" applyBorder="1" applyAlignment="1">
      <alignment horizontal="center" vertical="center"/>
    </xf>
    <xf numFmtId="0" fontId="17" fillId="19" borderId="28" xfId="0" applyFont="1" applyFill="1" applyBorder="1" applyAlignment="1">
      <alignment horizontal="center" vertical="center"/>
    </xf>
    <xf numFmtId="166" fontId="17" fillId="18" borderId="54" xfId="2" applyNumberFormat="1" applyFont="1" applyFill="1" applyBorder="1" applyAlignment="1">
      <alignment horizontal="center" vertical="center"/>
    </xf>
    <xf numFmtId="0" fontId="0" fillId="19" borderId="36" xfId="0" applyFill="1" applyBorder="1" applyAlignment="1">
      <alignment horizontal="center"/>
    </xf>
    <xf numFmtId="0" fontId="0" fillId="19" borderId="10" xfId="0" applyFill="1" applyBorder="1" applyAlignment="1">
      <alignment horizontal="center"/>
    </xf>
    <xf numFmtId="0" fontId="5" fillId="6" borderId="0" xfId="0" applyFont="1" applyFill="1" applyAlignment="1">
      <alignment horizontal="center" vertical="center"/>
    </xf>
    <xf numFmtId="0" fontId="19" fillId="7" borderId="1" xfId="0" applyFont="1" applyFill="1" applyBorder="1" applyAlignment="1">
      <alignment horizontal="center" vertical="center"/>
    </xf>
    <xf numFmtId="0" fontId="19" fillId="7" borderId="2" xfId="0" applyFont="1" applyFill="1" applyBorder="1" applyAlignment="1">
      <alignment horizontal="center" vertical="center"/>
    </xf>
    <xf numFmtId="0" fontId="19" fillId="7" borderId="5" xfId="0" applyFont="1" applyFill="1" applyBorder="1" applyAlignment="1">
      <alignment horizontal="center" vertical="center"/>
    </xf>
    <xf numFmtId="0" fontId="0" fillId="2" borderId="0" xfId="0" applyFill="1" applyAlignment="1">
      <alignment horizontal="center"/>
    </xf>
    <xf numFmtId="0" fontId="0" fillId="2" borderId="35" xfId="0" applyFill="1" applyBorder="1" applyAlignment="1">
      <alignment horizontal="center"/>
    </xf>
    <xf numFmtId="0" fontId="0" fillId="2" borderId="44" xfId="0" applyFill="1" applyBorder="1" applyAlignment="1">
      <alignment horizontal="center"/>
    </xf>
    <xf numFmtId="0" fontId="3" fillId="16" borderId="18" xfId="0" applyFont="1" applyFill="1" applyBorder="1" applyAlignment="1">
      <alignment horizontal="center" vertical="center"/>
    </xf>
    <xf numFmtId="0" fontId="3" fillId="16" borderId="20" xfId="0" applyFont="1" applyFill="1" applyBorder="1" applyAlignment="1">
      <alignment horizontal="center" vertical="center"/>
    </xf>
    <xf numFmtId="0" fontId="3" fillId="4" borderId="18" xfId="0" applyFont="1" applyFill="1" applyBorder="1" applyAlignment="1">
      <alignment horizontal="center" vertical="center"/>
    </xf>
    <xf numFmtId="0" fontId="3" fillId="4" borderId="20" xfId="0" applyFont="1" applyFill="1" applyBorder="1" applyAlignment="1">
      <alignment horizontal="center" vertical="center"/>
    </xf>
    <xf numFmtId="0" fontId="19" fillId="7" borderId="9" xfId="0" applyFont="1" applyFill="1" applyBorder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3" fillId="13" borderId="18" xfId="0" applyFont="1" applyFill="1" applyBorder="1" applyAlignment="1">
      <alignment horizontal="center" vertical="center"/>
    </xf>
    <xf numFmtId="0" fontId="3" fillId="13" borderId="20" xfId="0" applyFont="1" applyFill="1" applyBorder="1" applyAlignment="1">
      <alignment horizontal="center" vertical="center"/>
    </xf>
    <xf numFmtId="0" fontId="3" fillId="14" borderId="18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10" fillId="19" borderId="6" xfId="0" applyFont="1" applyFill="1" applyBorder="1" applyAlignment="1">
      <alignment horizontal="left" vertical="top" wrapText="1"/>
    </xf>
    <xf numFmtId="0" fontId="10" fillId="19" borderId="7" xfId="0" applyFont="1" applyFill="1" applyBorder="1" applyAlignment="1">
      <alignment horizontal="left" vertical="top" wrapText="1"/>
    </xf>
    <xf numFmtId="0" fontId="10" fillId="19" borderId="8" xfId="0" applyFont="1" applyFill="1" applyBorder="1" applyAlignment="1">
      <alignment horizontal="left" vertical="top" wrapText="1"/>
    </xf>
    <xf numFmtId="0" fontId="10" fillId="19" borderId="9" xfId="0" applyFont="1" applyFill="1" applyBorder="1" applyAlignment="1">
      <alignment horizontal="left" vertical="top" wrapText="1"/>
    </xf>
    <xf numFmtId="0" fontId="10" fillId="19" borderId="0" xfId="0" applyFont="1" applyFill="1" applyAlignment="1">
      <alignment horizontal="left" vertical="top" wrapText="1"/>
    </xf>
    <xf numFmtId="0" fontId="10" fillId="19" borderId="10" xfId="0" applyFont="1" applyFill="1" applyBorder="1" applyAlignment="1">
      <alignment horizontal="left" vertical="top" wrapText="1"/>
    </xf>
    <xf numFmtId="0" fontId="10" fillId="19" borderId="11" xfId="0" applyFont="1" applyFill="1" applyBorder="1" applyAlignment="1">
      <alignment horizontal="left" vertical="top" wrapText="1"/>
    </xf>
    <xf numFmtId="0" fontId="10" fillId="19" borderId="3" xfId="0" applyFont="1" applyFill="1" applyBorder="1" applyAlignment="1">
      <alignment horizontal="left" vertical="top" wrapText="1"/>
    </xf>
    <xf numFmtId="0" fontId="10" fillId="19" borderId="12" xfId="0" applyFont="1" applyFill="1" applyBorder="1" applyAlignment="1">
      <alignment horizontal="left" vertical="top" wrapText="1"/>
    </xf>
    <xf numFmtId="0" fontId="5" fillId="6" borderId="1" xfId="0" applyFont="1" applyFill="1" applyBorder="1" applyAlignment="1">
      <alignment horizontal="center" vertical="center"/>
    </xf>
    <xf numFmtId="0" fontId="5" fillId="6" borderId="2" xfId="0" applyFont="1" applyFill="1" applyBorder="1" applyAlignment="1">
      <alignment horizontal="center" vertical="center"/>
    </xf>
    <xf numFmtId="0" fontId="22" fillId="10" borderId="1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center" vertical="center" wrapText="1"/>
    </xf>
    <xf numFmtId="0" fontId="22" fillId="10" borderId="5" xfId="0" applyFont="1" applyFill="1" applyBorder="1" applyAlignment="1">
      <alignment horizontal="center" vertical="center" wrapText="1"/>
    </xf>
    <xf numFmtId="0" fontId="22" fillId="10" borderId="1" xfId="0" applyFont="1" applyFill="1" applyBorder="1" applyAlignment="1">
      <alignment horizontal="center" vertical="center"/>
    </xf>
    <xf numFmtId="0" fontId="22" fillId="10" borderId="2" xfId="0" applyFont="1" applyFill="1" applyBorder="1" applyAlignment="1">
      <alignment horizontal="center" vertical="center"/>
    </xf>
    <xf numFmtId="0" fontId="22" fillId="10" borderId="5" xfId="0" applyFont="1" applyFill="1" applyBorder="1" applyAlignment="1">
      <alignment horizontal="center" vertical="center"/>
    </xf>
    <xf numFmtId="0" fontId="6" fillId="0" borderId="46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wrapText="1"/>
    </xf>
    <xf numFmtId="0" fontId="17" fillId="0" borderId="44" xfId="0" applyFont="1" applyBorder="1" applyAlignment="1">
      <alignment horizontal="center" vertical="center"/>
    </xf>
    <xf numFmtId="0" fontId="17" fillId="0" borderId="22" xfId="0" applyFont="1" applyBorder="1" applyAlignment="1">
      <alignment horizontal="center" vertical="center"/>
    </xf>
    <xf numFmtId="43" fontId="3" fillId="0" borderId="73" xfId="2" applyFont="1" applyBorder="1" applyAlignment="1">
      <alignment horizontal="center" vertical="center"/>
    </xf>
    <xf numFmtId="43" fontId="3" fillId="0" borderId="75" xfId="2" applyFont="1" applyBorder="1" applyAlignment="1">
      <alignment horizontal="center" vertical="center"/>
    </xf>
    <xf numFmtId="0" fontId="27" fillId="10" borderId="1" xfId="0" applyFont="1" applyFill="1" applyBorder="1" applyAlignment="1">
      <alignment horizontal="center" vertical="center"/>
    </xf>
    <xf numFmtId="0" fontId="27" fillId="10" borderId="2" xfId="0" applyFont="1" applyFill="1" applyBorder="1" applyAlignment="1">
      <alignment horizontal="center" vertical="center"/>
    </xf>
    <xf numFmtId="0" fontId="27" fillId="10" borderId="5" xfId="0" applyFont="1" applyFill="1" applyBorder="1" applyAlignment="1">
      <alignment horizontal="center" vertical="center"/>
    </xf>
    <xf numFmtId="0" fontId="6" fillId="11" borderId="1" xfId="0" applyFont="1" applyFill="1" applyBorder="1" applyAlignment="1">
      <alignment horizontal="center" vertical="center" wrapText="1"/>
    </xf>
    <xf numFmtId="0" fontId="6" fillId="11" borderId="2" xfId="0" applyFont="1" applyFill="1" applyBorder="1" applyAlignment="1">
      <alignment horizontal="center" vertical="center" wrapText="1"/>
    </xf>
    <xf numFmtId="0" fontId="6" fillId="11" borderId="1" xfId="0" applyFont="1" applyFill="1" applyBorder="1" applyAlignment="1">
      <alignment horizontal="center" vertical="center"/>
    </xf>
    <xf numFmtId="0" fontId="6" fillId="11" borderId="2" xfId="0" applyFont="1" applyFill="1" applyBorder="1" applyAlignment="1">
      <alignment horizontal="center" vertical="center"/>
    </xf>
    <xf numFmtId="169" fontId="36" fillId="11" borderId="1" xfId="3" applyNumberFormat="1" applyFont="1" applyFill="1" applyBorder="1" applyAlignment="1">
      <alignment horizontal="right" vertical="center"/>
    </xf>
    <xf numFmtId="169" fontId="36" fillId="11" borderId="2" xfId="3" applyNumberFormat="1" applyFont="1" applyFill="1" applyBorder="1" applyAlignment="1">
      <alignment horizontal="right" vertical="center"/>
    </xf>
    <xf numFmtId="0" fontId="35" fillId="11" borderId="2" xfId="0" applyFont="1" applyFill="1" applyBorder="1" applyAlignment="1">
      <alignment horizontal="left" vertical="center"/>
    </xf>
    <xf numFmtId="0" fontId="35" fillId="11" borderId="5" xfId="0" applyFont="1" applyFill="1" applyBorder="1" applyAlignment="1">
      <alignment horizontal="left" vertical="center"/>
    </xf>
    <xf numFmtId="0" fontId="16" fillId="7" borderId="1" xfId="0" applyFont="1" applyFill="1" applyBorder="1" applyAlignment="1">
      <alignment horizontal="center"/>
    </xf>
    <xf numFmtId="0" fontId="16" fillId="7" borderId="2" xfId="0" applyFont="1" applyFill="1" applyBorder="1" applyAlignment="1">
      <alignment horizontal="center"/>
    </xf>
    <xf numFmtId="0" fontId="16" fillId="7" borderId="5" xfId="0" applyFont="1" applyFill="1" applyBorder="1" applyAlignment="1">
      <alignment horizontal="center"/>
    </xf>
    <xf numFmtId="0" fontId="22" fillId="12" borderId="53" xfId="0" applyFont="1" applyFill="1" applyBorder="1" applyAlignment="1">
      <alignment horizontal="center"/>
    </xf>
    <xf numFmtId="0" fontId="22" fillId="12" borderId="42" xfId="0" applyFont="1" applyFill="1" applyBorder="1" applyAlignment="1">
      <alignment horizontal="center"/>
    </xf>
    <xf numFmtId="0" fontId="22" fillId="12" borderId="43" xfId="0" applyFont="1" applyFill="1" applyBorder="1" applyAlignment="1">
      <alignment horizontal="center"/>
    </xf>
    <xf numFmtId="0" fontId="32" fillId="16" borderId="6" xfId="0" applyFont="1" applyFill="1" applyBorder="1" applyAlignment="1">
      <alignment horizontal="center" vertical="center"/>
    </xf>
    <xf numFmtId="0" fontId="32" fillId="16" borderId="7" xfId="0" applyFont="1" applyFill="1" applyBorder="1" applyAlignment="1">
      <alignment horizontal="center" vertical="center"/>
    </xf>
    <xf numFmtId="0" fontId="32" fillId="16" borderId="8" xfId="0" applyFont="1" applyFill="1" applyBorder="1" applyAlignment="1">
      <alignment horizontal="center" vertical="center"/>
    </xf>
    <xf numFmtId="0" fontId="32" fillId="16" borderId="11" xfId="0" applyFont="1" applyFill="1" applyBorder="1" applyAlignment="1">
      <alignment horizontal="center" vertical="center"/>
    </xf>
    <xf numFmtId="0" fontId="32" fillId="16" borderId="3" xfId="0" applyFont="1" applyFill="1" applyBorder="1" applyAlignment="1">
      <alignment horizontal="center" vertical="center"/>
    </xf>
    <xf numFmtId="0" fontId="32" fillId="16" borderId="12" xfId="0" applyFont="1" applyFill="1" applyBorder="1" applyAlignment="1">
      <alignment horizontal="center" vertical="center"/>
    </xf>
    <xf numFmtId="0" fontId="25" fillId="27" borderId="6" xfId="0" applyFont="1" applyFill="1" applyBorder="1" applyAlignment="1">
      <alignment horizontal="center" vertical="center"/>
    </xf>
    <xf numFmtId="0" fontId="25" fillId="27" borderId="7" xfId="0" applyFont="1" applyFill="1" applyBorder="1" applyAlignment="1">
      <alignment horizontal="center" vertical="center"/>
    </xf>
    <xf numFmtId="0" fontId="25" fillId="27" borderId="8" xfId="0" applyFont="1" applyFill="1" applyBorder="1" applyAlignment="1">
      <alignment horizontal="center" vertical="center"/>
    </xf>
    <xf numFmtId="0" fontId="25" fillId="27" borderId="11" xfId="0" applyFont="1" applyFill="1" applyBorder="1" applyAlignment="1">
      <alignment horizontal="center" vertical="center"/>
    </xf>
    <xf numFmtId="0" fontId="25" fillId="27" borderId="3" xfId="0" applyFont="1" applyFill="1" applyBorder="1" applyAlignment="1">
      <alignment horizontal="center" vertical="center"/>
    </xf>
    <xf numFmtId="0" fontId="25" fillId="27" borderId="12" xfId="0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10" xfId="0" applyBorder="1" applyAlignment="1">
      <alignment horizontal="left"/>
    </xf>
    <xf numFmtId="0" fontId="0" fillId="8" borderId="0" xfId="0" applyFill="1" applyAlignment="1">
      <alignment horizontal="center"/>
    </xf>
    <xf numFmtId="0" fontId="13" fillId="8" borderId="0" xfId="0" applyFont="1" applyFill="1" applyAlignment="1">
      <alignment horizontal="center"/>
    </xf>
    <xf numFmtId="0" fontId="3" fillId="7" borderId="18" xfId="0" applyFont="1" applyFill="1" applyBorder="1" applyAlignment="1">
      <alignment horizontal="center" vertical="center"/>
    </xf>
    <xf numFmtId="0" fontId="3" fillId="7" borderId="49" xfId="0" applyFont="1" applyFill="1" applyBorder="1" applyAlignment="1">
      <alignment horizontal="center" vertical="center"/>
    </xf>
    <xf numFmtId="0" fontId="3" fillId="7" borderId="71" xfId="0" applyFont="1" applyFill="1" applyBorder="1" applyAlignment="1">
      <alignment horizontal="center" vertical="center"/>
    </xf>
    <xf numFmtId="0" fontId="3" fillId="16" borderId="49" xfId="0" applyFont="1" applyFill="1" applyBorder="1" applyAlignment="1">
      <alignment horizontal="center" vertical="center"/>
    </xf>
    <xf numFmtId="0" fontId="3" fillId="16" borderId="71" xfId="0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34" fillId="6" borderId="0" xfId="0" applyFont="1" applyFill="1" applyAlignment="1">
      <alignment horizontal="center" vertical="center"/>
    </xf>
    <xf numFmtId="0" fontId="22" fillId="12" borderId="61" xfId="0" applyFont="1" applyFill="1" applyBorder="1" applyAlignment="1">
      <alignment horizontal="center"/>
    </xf>
    <xf numFmtId="0" fontId="22" fillId="12" borderId="64" xfId="0" applyFont="1" applyFill="1" applyBorder="1" applyAlignment="1">
      <alignment horizontal="center"/>
    </xf>
    <xf numFmtId="0" fontId="22" fillId="12" borderId="54" xfId="0" applyFont="1" applyFill="1" applyBorder="1" applyAlignment="1">
      <alignment horizontal="center"/>
    </xf>
    <xf numFmtId="0" fontId="22" fillId="12" borderId="18" xfId="0" applyFont="1" applyFill="1" applyBorder="1" applyAlignment="1">
      <alignment horizontal="center"/>
    </xf>
    <xf numFmtId="0" fontId="22" fillId="12" borderId="19" xfId="0" applyFont="1" applyFill="1" applyBorder="1" applyAlignment="1">
      <alignment horizontal="center"/>
    </xf>
    <xf numFmtId="0" fontId="22" fillId="12" borderId="49" xfId="0" applyFont="1" applyFill="1" applyBorder="1" applyAlignment="1">
      <alignment horizontal="center"/>
    </xf>
    <xf numFmtId="0" fontId="25" fillId="18" borderId="6" xfId="0" applyFont="1" applyFill="1" applyBorder="1" applyAlignment="1">
      <alignment horizontal="center" vertical="center"/>
    </xf>
    <xf numFmtId="0" fontId="25" fillId="18" borderId="7" xfId="0" applyFont="1" applyFill="1" applyBorder="1" applyAlignment="1">
      <alignment horizontal="center" vertical="center"/>
    </xf>
    <xf numFmtId="0" fontId="25" fillId="18" borderId="8" xfId="0" applyFont="1" applyFill="1" applyBorder="1" applyAlignment="1">
      <alignment horizontal="center" vertical="center"/>
    </xf>
    <xf numFmtId="0" fontId="25" fillId="18" borderId="11" xfId="0" applyFont="1" applyFill="1" applyBorder="1" applyAlignment="1">
      <alignment horizontal="center" vertical="center"/>
    </xf>
    <xf numFmtId="0" fontId="25" fillId="18" borderId="3" xfId="0" applyFont="1" applyFill="1" applyBorder="1" applyAlignment="1">
      <alignment horizontal="center" vertical="center"/>
    </xf>
    <xf numFmtId="0" fontId="25" fillId="18" borderId="12" xfId="0" applyFont="1" applyFill="1" applyBorder="1" applyAlignment="1">
      <alignment horizontal="center" vertical="center"/>
    </xf>
    <xf numFmtId="0" fontId="25" fillId="25" borderId="7" xfId="0" applyFont="1" applyFill="1" applyBorder="1" applyAlignment="1">
      <alignment horizontal="center" vertical="center"/>
    </xf>
    <xf numFmtId="0" fontId="25" fillId="25" borderId="3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3" fillId="27" borderId="6" xfId="0" applyFont="1" applyFill="1" applyBorder="1" applyAlignment="1">
      <alignment horizontal="center" vertical="center"/>
    </xf>
    <xf numFmtId="0" fontId="3" fillId="27" borderId="33" xfId="0" applyFont="1" applyFill="1" applyBorder="1" applyAlignment="1">
      <alignment horizontal="center" vertical="center"/>
    </xf>
    <xf numFmtId="0" fontId="3" fillId="27" borderId="45" xfId="0" applyFont="1" applyFill="1" applyBorder="1" applyAlignment="1">
      <alignment horizontal="center" vertical="center"/>
    </xf>
    <xf numFmtId="0" fontId="3" fillId="27" borderId="8" xfId="0" applyFont="1" applyFill="1" applyBorder="1" applyAlignment="1">
      <alignment horizontal="center" vertical="center"/>
    </xf>
    <xf numFmtId="0" fontId="25" fillId="26" borderId="6" xfId="0" applyFont="1" applyFill="1" applyBorder="1" applyAlignment="1">
      <alignment horizontal="center" vertical="center"/>
    </xf>
    <xf numFmtId="0" fontId="25" fillId="26" borderId="8" xfId="0" applyFont="1" applyFill="1" applyBorder="1" applyAlignment="1">
      <alignment horizontal="center" vertical="center"/>
    </xf>
    <xf numFmtId="0" fontId="25" fillId="26" borderId="11" xfId="0" applyFont="1" applyFill="1" applyBorder="1" applyAlignment="1">
      <alignment horizontal="center" vertical="center"/>
    </xf>
    <xf numFmtId="0" fontId="25" fillId="26" borderId="12" xfId="0" applyFont="1" applyFill="1" applyBorder="1" applyAlignment="1">
      <alignment horizontal="center" vertical="center"/>
    </xf>
    <xf numFmtId="0" fontId="25" fillId="7" borderId="7" xfId="0" applyFont="1" applyFill="1" applyBorder="1" applyAlignment="1">
      <alignment horizontal="center" vertical="center"/>
    </xf>
    <xf numFmtId="0" fontId="25" fillId="7" borderId="8" xfId="0" applyFont="1" applyFill="1" applyBorder="1" applyAlignment="1">
      <alignment horizontal="center" vertical="center"/>
    </xf>
    <xf numFmtId="0" fontId="25" fillId="7" borderId="3" xfId="0" applyFont="1" applyFill="1" applyBorder="1" applyAlignment="1">
      <alignment horizontal="center" vertical="center"/>
    </xf>
    <xf numFmtId="0" fontId="25" fillId="7" borderId="12" xfId="0" applyFont="1" applyFill="1" applyBorder="1" applyAlignment="1">
      <alignment horizontal="center" vertical="center"/>
    </xf>
    <xf numFmtId="0" fontId="3" fillId="26" borderId="6" xfId="0" applyFont="1" applyFill="1" applyBorder="1" applyAlignment="1">
      <alignment horizontal="center" vertical="center"/>
    </xf>
    <xf numFmtId="0" fontId="3" fillId="26" borderId="8" xfId="0" applyFont="1" applyFill="1" applyBorder="1" applyAlignment="1">
      <alignment horizontal="center" vertical="center"/>
    </xf>
    <xf numFmtId="0" fontId="3" fillId="25" borderId="45" xfId="0" applyFont="1" applyFill="1" applyBorder="1" applyAlignment="1">
      <alignment horizontal="center" vertical="center"/>
    </xf>
    <xf numFmtId="0" fontId="3" fillId="25" borderId="33" xfId="0" applyFont="1" applyFill="1" applyBorder="1" applyAlignment="1">
      <alignment horizontal="center" vertical="center"/>
    </xf>
    <xf numFmtId="0" fontId="3" fillId="25" borderId="8" xfId="0" applyFont="1" applyFill="1" applyBorder="1" applyAlignment="1">
      <alignment horizontal="center" vertical="center"/>
    </xf>
    <xf numFmtId="0" fontId="3" fillId="7" borderId="20" xfId="0" applyFont="1" applyFill="1" applyBorder="1" applyAlignment="1">
      <alignment horizontal="center" vertical="center"/>
    </xf>
    <xf numFmtId="0" fontId="0" fillId="19" borderId="6" xfId="0" applyFill="1" applyBorder="1" applyAlignment="1">
      <alignment horizontal="left" vertical="top" wrapText="1"/>
    </xf>
    <xf numFmtId="0" fontId="0" fillId="19" borderId="7" xfId="0" applyFill="1" applyBorder="1" applyAlignment="1">
      <alignment horizontal="left" vertical="top"/>
    </xf>
    <xf numFmtId="0" fontId="0" fillId="19" borderId="8" xfId="0" applyFill="1" applyBorder="1" applyAlignment="1">
      <alignment horizontal="left" vertical="top"/>
    </xf>
    <xf numFmtId="0" fontId="0" fillId="19" borderId="9" xfId="0" applyFill="1" applyBorder="1" applyAlignment="1">
      <alignment horizontal="left" vertical="top"/>
    </xf>
    <xf numFmtId="0" fontId="0" fillId="19" borderId="0" xfId="0" applyFill="1" applyAlignment="1">
      <alignment horizontal="left" vertical="top"/>
    </xf>
    <xf numFmtId="0" fontId="0" fillId="19" borderId="10" xfId="0" applyFill="1" applyBorder="1" applyAlignment="1">
      <alignment horizontal="left" vertical="top"/>
    </xf>
    <xf numFmtId="0" fontId="0" fillId="19" borderId="11" xfId="0" applyFill="1" applyBorder="1" applyAlignment="1">
      <alignment horizontal="left" vertical="top"/>
    </xf>
    <xf numFmtId="0" fontId="0" fillId="19" borderId="3" xfId="0" applyFill="1" applyBorder="1" applyAlignment="1">
      <alignment horizontal="left" vertical="top"/>
    </xf>
    <xf numFmtId="0" fontId="0" fillId="19" borderId="12" xfId="0" applyFill="1" applyBorder="1" applyAlignment="1">
      <alignment horizontal="left" vertical="top"/>
    </xf>
    <xf numFmtId="0" fontId="25" fillId="10" borderId="6" xfId="0" applyFont="1" applyFill="1" applyBorder="1" applyAlignment="1">
      <alignment horizontal="center" vertical="center"/>
    </xf>
    <xf numFmtId="0" fontId="25" fillId="10" borderId="7" xfId="0" applyFont="1" applyFill="1" applyBorder="1" applyAlignment="1">
      <alignment horizontal="center" vertical="center"/>
    </xf>
    <xf numFmtId="0" fontId="25" fillId="10" borderId="8" xfId="0" applyFont="1" applyFill="1" applyBorder="1" applyAlignment="1">
      <alignment horizontal="center" vertical="center"/>
    </xf>
    <xf numFmtId="0" fontId="25" fillId="10" borderId="11" xfId="0" applyFont="1" applyFill="1" applyBorder="1" applyAlignment="1">
      <alignment horizontal="center" vertical="center"/>
    </xf>
    <xf numFmtId="0" fontId="25" fillId="10" borderId="3" xfId="0" applyFont="1" applyFill="1" applyBorder="1" applyAlignment="1">
      <alignment horizontal="center" vertical="center"/>
    </xf>
    <xf numFmtId="0" fontId="25" fillId="10" borderId="12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" fillId="18" borderId="18" xfId="0" applyFont="1" applyFill="1" applyBorder="1" applyAlignment="1">
      <alignment horizontal="center" vertical="center"/>
    </xf>
    <xf numFmtId="0" fontId="3" fillId="18" borderId="49" xfId="0" applyFont="1" applyFill="1" applyBorder="1" applyAlignment="1">
      <alignment horizontal="center" vertical="center"/>
    </xf>
    <xf numFmtId="0" fontId="42" fillId="7" borderId="1" xfId="0" applyFont="1" applyFill="1" applyBorder="1" applyAlignment="1">
      <alignment horizontal="center" vertical="center"/>
    </xf>
    <xf numFmtId="0" fontId="42" fillId="7" borderId="2" xfId="0" applyFont="1" applyFill="1" applyBorder="1" applyAlignment="1">
      <alignment horizontal="center" vertical="center"/>
    </xf>
    <xf numFmtId="0" fontId="42" fillId="7" borderId="5" xfId="0" applyFont="1" applyFill="1" applyBorder="1" applyAlignment="1">
      <alignment horizontal="center" vertical="center"/>
    </xf>
    <xf numFmtId="0" fontId="3" fillId="18" borderId="71" xfId="0" applyFont="1" applyFill="1" applyBorder="1" applyAlignment="1">
      <alignment horizontal="center" vertical="center"/>
    </xf>
    <xf numFmtId="0" fontId="3" fillId="18" borderId="20" xfId="0" applyFont="1" applyFill="1" applyBorder="1" applyAlignment="1">
      <alignment horizontal="center" vertical="center"/>
    </xf>
    <xf numFmtId="0" fontId="3" fillId="25" borderId="6" xfId="0" applyFont="1" applyFill="1" applyBorder="1" applyAlignment="1">
      <alignment horizontal="center" vertical="center"/>
    </xf>
    <xf numFmtId="0" fontId="24" fillId="0" borderId="79" xfId="0" applyFont="1" applyBorder="1" applyAlignment="1">
      <alignment horizontal="center" vertical="center" textRotation="90"/>
    </xf>
    <xf numFmtId="0" fontId="24" fillId="0" borderId="78" xfId="0" applyFont="1" applyBorder="1" applyAlignment="1">
      <alignment horizontal="center" vertical="center" textRotation="90"/>
    </xf>
    <xf numFmtId="0" fontId="24" fillId="0" borderId="23" xfId="0" applyFont="1" applyBorder="1" applyAlignment="1">
      <alignment horizontal="center" vertical="center" textRotation="90"/>
    </xf>
    <xf numFmtId="0" fontId="23" fillId="0" borderId="41" xfId="0" applyFont="1" applyBorder="1" applyAlignment="1">
      <alignment horizontal="center"/>
    </xf>
    <xf numFmtId="0" fontId="23" fillId="0" borderId="42" xfId="0" applyFont="1" applyBorder="1" applyAlignment="1">
      <alignment horizontal="center"/>
    </xf>
    <xf numFmtId="0" fontId="23" fillId="0" borderId="43" xfId="0" applyFont="1" applyBorder="1" applyAlignment="1">
      <alignment horizontal="center"/>
    </xf>
    <xf numFmtId="0" fontId="0" fillId="2" borderId="53" xfId="0" applyFill="1" applyBorder="1" applyAlignment="1">
      <alignment horizontal="center"/>
    </xf>
    <xf numFmtId="0" fontId="0" fillId="2" borderId="55" xfId="0" applyFill="1" applyBorder="1" applyAlignment="1">
      <alignment horizont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3" fillId="0" borderId="18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2" fontId="16" fillId="8" borderId="35" xfId="0" applyNumberFormat="1" applyFont="1" applyFill="1" applyBorder="1" applyAlignment="1">
      <alignment horizontal="center" vertical="center"/>
    </xf>
    <xf numFmtId="2" fontId="16" fillId="8" borderId="38" xfId="0" applyNumberFormat="1" applyFont="1" applyFill="1" applyBorder="1" applyAlignment="1">
      <alignment horizontal="center" vertical="center"/>
    </xf>
    <xf numFmtId="2" fontId="16" fillId="8" borderId="36" xfId="0" applyNumberFormat="1" applyFont="1" applyFill="1" applyBorder="1" applyAlignment="1">
      <alignment horizontal="center" vertical="center"/>
    </xf>
    <xf numFmtId="2" fontId="16" fillId="8" borderId="0" xfId="0" applyNumberFormat="1" applyFont="1" applyFill="1" applyAlignment="1">
      <alignment horizontal="center" vertical="center"/>
    </xf>
    <xf numFmtId="2" fontId="16" fillId="8" borderId="70" xfId="0" applyNumberFormat="1" applyFont="1" applyFill="1" applyBorder="1" applyAlignment="1">
      <alignment horizontal="center" vertical="center"/>
    </xf>
    <xf numFmtId="2" fontId="16" fillId="8" borderId="3" xfId="0" applyNumberFormat="1" applyFont="1" applyFill="1" applyBorder="1" applyAlignment="1">
      <alignment horizontal="center" vertical="center"/>
    </xf>
    <xf numFmtId="0" fontId="21" fillId="19" borderId="6" xfId="0" applyFont="1" applyFill="1" applyBorder="1" applyAlignment="1">
      <alignment horizontal="left" vertical="top" wrapText="1"/>
    </xf>
    <xf numFmtId="0" fontId="21" fillId="19" borderId="7" xfId="0" applyFont="1" applyFill="1" applyBorder="1" applyAlignment="1">
      <alignment horizontal="left" vertical="top"/>
    </xf>
    <xf numFmtId="0" fontId="21" fillId="19" borderId="8" xfId="0" applyFont="1" applyFill="1" applyBorder="1" applyAlignment="1">
      <alignment horizontal="left" vertical="top"/>
    </xf>
    <xf numFmtId="0" fontId="21" fillId="19" borderId="9" xfId="0" applyFont="1" applyFill="1" applyBorder="1" applyAlignment="1">
      <alignment horizontal="left" vertical="top"/>
    </xf>
    <xf numFmtId="0" fontId="21" fillId="19" borderId="0" xfId="0" applyFont="1" applyFill="1" applyAlignment="1">
      <alignment horizontal="left" vertical="top"/>
    </xf>
    <xf numFmtId="0" fontId="21" fillId="19" borderId="10" xfId="0" applyFont="1" applyFill="1" applyBorder="1" applyAlignment="1">
      <alignment horizontal="left" vertical="top"/>
    </xf>
    <xf numFmtId="0" fontId="21" fillId="19" borderId="11" xfId="0" applyFont="1" applyFill="1" applyBorder="1" applyAlignment="1">
      <alignment horizontal="left" vertical="top"/>
    </xf>
    <xf numFmtId="0" fontId="21" fillId="19" borderId="3" xfId="0" applyFont="1" applyFill="1" applyBorder="1" applyAlignment="1">
      <alignment horizontal="left" vertical="top"/>
    </xf>
    <xf numFmtId="0" fontId="21" fillId="19" borderId="12" xfId="0" applyFont="1" applyFill="1" applyBorder="1" applyAlignment="1">
      <alignment horizontal="left" vertical="top"/>
    </xf>
    <xf numFmtId="0" fontId="26" fillId="10" borderId="1" xfId="0" applyFont="1" applyFill="1" applyBorder="1" applyAlignment="1">
      <alignment horizontal="center"/>
    </xf>
    <xf numFmtId="0" fontId="26" fillId="10" borderId="2" xfId="0" applyFont="1" applyFill="1" applyBorder="1" applyAlignment="1">
      <alignment horizontal="center"/>
    </xf>
    <xf numFmtId="0" fontId="26" fillId="10" borderId="5" xfId="0" applyFont="1" applyFill="1" applyBorder="1" applyAlignment="1">
      <alignment horizontal="center"/>
    </xf>
    <xf numFmtId="0" fontId="7" fillId="8" borderId="71" xfId="0" applyFont="1" applyFill="1" applyBorder="1" applyAlignment="1">
      <alignment horizontal="center" vertical="center"/>
    </xf>
    <xf numFmtId="0" fontId="7" fillId="8" borderId="19" xfId="0" applyFont="1" applyFill="1" applyBorder="1" applyAlignment="1">
      <alignment horizontal="center" vertical="center"/>
    </xf>
    <xf numFmtId="0" fontId="7" fillId="8" borderId="49" xfId="0" applyFont="1" applyFill="1" applyBorder="1" applyAlignment="1">
      <alignment horizontal="center" vertical="center"/>
    </xf>
    <xf numFmtId="0" fontId="7" fillId="0" borderId="51" xfId="0" applyFont="1" applyBorder="1" applyAlignment="1">
      <alignment horizontal="center" vertical="center"/>
    </xf>
    <xf numFmtId="0" fontId="7" fillId="0" borderId="52" xfId="0" applyFont="1" applyBorder="1" applyAlignment="1">
      <alignment horizontal="center" vertical="center"/>
    </xf>
    <xf numFmtId="2" fontId="16" fillId="8" borderId="39" xfId="0" applyNumberFormat="1" applyFont="1" applyFill="1" applyBorder="1" applyAlignment="1">
      <alignment horizontal="center" vertical="center"/>
    </xf>
    <xf numFmtId="2" fontId="16" fillId="8" borderId="37" xfId="0" applyNumberFormat="1" applyFont="1" applyFill="1" applyBorder="1" applyAlignment="1">
      <alignment horizontal="center" vertical="center"/>
    </xf>
    <xf numFmtId="2" fontId="16" fillId="8" borderId="17" xfId="0" applyNumberFormat="1" applyFont="1" applyFill="1" applyBorder="1" applyAlignment="1">
      <alignment horizontal="center" vertical="center"/>
    </xf>
    <xf numFmtId="2" fontId="16" fillId="8" borderId="40" xfId="0" applyNumberFormat="1" applyFont="1" applyFill="1" applyBorder="1" applyAlignment="1">
      <alignment horizontal="center" vertical="center"/>
    </xf>
    <xf numFmtId="0" fontId="7" fillId="0" borderId="30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10" borderId="1" xfId="0" applyFont="1" applyFill="1" applyBorder="1" applyAlignment="1">
      <alignment horizontal="center"/>
    </xf>
    <xf numFmtId="0" fontId="7" fillId="10" borderId="2" xfId="0" applyFont="1" applyFill="1" applyBorder="1" applyAlignment="1">
      <alignment horizontal="center"/>
    </xf>
    <xf numFmtId="0" fontId="7" fillId="10" borderId="5" xfId="0" applyFont="1" applyFill="1" applyBorder="1" applyAlignment="1">
      <alignment horizontal="center"/>
    </xf>
    <xf numFmtId="0" fontId="16" fillId="23" borderId="6" xfId="0" applyFont="1" applyFill="1" applyBorder="1" applyAlignment="1">
      <alignment horizontal="center"/>
    </xf>
    <xf numFmtId="0" fontId="16" fillId="23" borderId="7" xfId="0" applyFont="1" applyFill="1" applyBorder="1" applyAlignment="1">
      <alignment horizontal="center"/>
    </xf>
    <xf numFmtId="0" fontId="16" fillId="23" borderId="8" xfId="0" applyFont="1" applyFill="1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23" fillId="0" borderId="35" xfId="0" applyFont="1" applyBorder="1"/>
    <xf numFmtId="0" fontId="23" fillId="0" borderId="38" xfId="0" applyFont="1" applyBorder="1"/>
    <xf numFmtId="0" fontId="23" fillId="0" borderId="36" xfId="0" applyFont="1" applyBorder="1"/>
    <xf numFmtId="0" fontId="23" fillId="0" borderId="0" xfId="0" applyFont="1"/>
    <xf numFmtId="0" fontId="23" fillId="0" borderId="37" xfId="0" applyFont="1" applyBorder="1"/>
    <xf numFmtId="0" fontId="23" fillId="0" borderId="17" xfId="0" applyFont="1" applyBorder="1"/>
    <xf numFmtId="165" fontId="23" fillId="0" borderId="36" xfId="0" applyNumberFormat="1" applyFont="1" applyBorder="1" applyAlignment="1">
      <alignment horizontal="center" vertical="center"/>
    </xf>
    <xf numFmtId="165" fontId="23" fillId="0" borderId="4" xfId="0" applyNumberFormat="1" applyFont="1" applyBorder="1" applyAlignment="1">
      <alignment horizontal="center" vertical="center"/>
    </xf>
    <xf numFmtId="165" fontId="23" fillId="0" borderId="0" xfId="0" applyNumberFormat="1" applyFont="1" applyAlignment="1">
      <alignment horizontal="center" vertical="center"/>
    </xf>
    <xf numFmtId="0" fontId="0" fillId="0" borderId="67" xfId="0" applyBorder="1" applyAlignment="1">
      <alignment horizontal="center"/>
    </xf>
    <xf numFmtId="0" fontId="0" fillId="0" borderId="68" xfId="0" applyBorder="1" applyAlignment="1">
      <alignment horizontal="center"/>
    </xf>
    <xf numFmtId="0" fontId="0" fillId="0" borderId="74" xfId="0" applyBorder="1" applyAlignment="1">
      <alignment horizontal="center"/>
    </xf>
    <xf numFmtId="0" fontId="46" fillId="2" borderId="23" xfId="0" applyFont="1" applyFill="1" applyBorder="1" applyAlignment="1">
      <alignment horizontal="center" vertical="center" readingOrder="1"/>
    </xf>
    <xf numFmtId="0" fontId="23" fillId="0" borderId="41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3" fillId="0" borderId="43" xfId="0" applyFont="1" applyBorder="1" applyAlignment="1">
      <alignment horizontal="center" vertical="center"/>
    </xf>
    <xf numFmtId="0" fontId="0" fillId="0" borderId="37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17" xfId="0" applyBorder="1" applyAlignment="1">
      <alignment horizontal="center"/>
    </xf>
    <xf numFmtId="0" fontId="23" fillId="0" borderId="35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3" fillId="0" borderId="36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0" fillId="2" borderId="46" xfId="0" applyFill="1" applyBorder="1" applyAlignment="1">
      <alignment horizontal="center" textRotation="90" wrapText="1"/>
    </xf>
    <xf numFmtId="0" fontId="0" fillId="2" borderId="9" xfId="0" applyFill="1" applyBorder="1" applyAlignment="1">
      <alignment horizontal="center" textRotation="90" wrapText="1"/>
    </xf>
    <xf numFmtId="0" fontId="0" fillId="2" borderId="11" xfId="0" applyFill="1" applyBorder="1" applyAlignment="1">
      <alignment horizontal="center" textRotation="90" wrapText="1"/>
    </xf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7" fillId="10" borderId="1" xfId="0" applyFont="1" applyFill="1" applyBorder="1" applyAlignment="1">
      <alignment horizontal="left"/>
    </xf>
    <xf numFmtId="0" fontId="7" fillId="10" borderId="2" xfId="0" applyFont="1" applyFill="1" applyBorder="1" applyAlignment="1">
      <alignment horizontal="left"/>
    </xf>
    <xf numFmtId="0" fontId="7" fillId="10" borderId="5" xfId="0" applyFont="1" applyFill="1" applyBorder="1" applyAlignment="1">
      <alignment horizontal="left"/>
    </xf>
    <xf numFmtId="0" fontId="21" fillId="19" borderId="7" xfId="0" applyFont="1" applyFill="1" applyBorder="1" applyAlignment="1">
      <alignment horizontal="left" vertical="top" wrapText="1"/>
    </xf>
    <xf numFmtId="0" fontId="21" fillId="19" borderId="8" xfId="0" applyFont="1" applyFill="1" applyBorder="1" applyAlignment="1">
      <alignment horizontal="left" vertical="top" wrapText="1"/>
    </xf>
    <xf numFmtId="0" fontId="21" fillId="19" borderId="9" xfId="0" applyFont="1" applyFill="1" applyBorder="1" applyAlignment="1">
      <alignment horizontal="left" vertical="top" wrapText="1"/>
    </xf>
    <xf numFmtId="0" fontId="21" fillId="19" borderId="0" xfId="0" applyFont="1" applyFill="1" applyAlignment="1">
      <alignment horizontal="left" vertical="top" wrapText="1"/>
    </xf>
    <xf numFmtId="0" fontId="21" fillId="19" borderId="10" xfId="0" applyFont="1" applyFill="1" applyBorder="1" applyAlignment="1">
      <alignment horizontal="left" vertical="top" wrapText="1"/>
    </xf>
    <xf numFmtId="0" fontId="21" fillId="19" borderId="11" xfId="0" applyFont="1" applyFill="1" applyBorder="1" applyAlignment="1">
      <alignment horizontal="left" vertical="top" wrapText="1"/>
    </xf>
    <xf numFmtId="0" fontId="21" fillId="19" borderId="3" xfId="0" applyFont="1" applyFill="1" applyBorder="1" applyAlignment="1">
      <alignment horizontal="left" vertical="top" wrapText="1"/>
    </xf>
    <xf numFmtId="0" fontId="21" fillId="19" borderId="12" xfId="0" applyFont="1" applyFill="1" applyBorder="1" applyAlignment="1">
      <alignment horizontal="left" vertical="top" wrapText="1"/>
    </xf>
    <xf numFmtId="0" fontId="7" fillId="8" borderId="23" xfId="0" applyFont="1" applyFill="1" applyBorder="1" applyAlignment="1">
      <alignment horizontal="center" vertical="center"/>
    </xf>
    <xf numFmtId="0" fontId="7" fillId="8" borderId="37" xfId="0" applyFont="1" applyFill="1" applyBorder="1" applyAlignment="1">
      <alignment horizontal="center" vertical="center"/>
    </xf>
    <xf numFmtId="0" fontId="0" fillId="0" borderId="36" xfId="0" applyBorder="1"/>
    <xf numFmtId="0" fontId="0" fillId="0" borderId="0" xfId="0"/>
    <xf numFmtId="0" fontId="0" fillId="0" borderId="3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5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79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23" fillId="19" borderId="6" xfId="0" applyFont="1" applyFill="1" applyBorder="1" applyAlignment="1">
      <alignment horizontal="left" vertical="top" wrapText="1"/>
    </xf>
    <xf numFmtId="0" fontId="23" fillId="19" borderId="7" xfId="0" applyFont="1" applyFill="1" applyBorder="1" applyAlignment="1">
      <alignment horizontal="left" vertical="top"/>
    </xf>
    <xf numFmtId="0" fontId="23" fillId="19" borderId="8" xfId="0" applyFont="1" applyFill="1" applyBorder="1" applyAlignment="1">
      <alignment horizontal="left" vertical="top"/>
    </xf>
    <xf numFmtId="0" fontId="23" fillId="19" borderId="9" xfId="0" applyFont="1" applyFill="1" applyBorder="1" applyAlignment="1">
      <alignment horizontal="left" vertical="top"/>
    </xf>
    <xf numFmtId="0" fontId="23" fillId="19" borderId="0" xfId="0" applyFont="1" applyFill="1" applyAlignment="1">
      <alignment horizontal="left" vertical="top"/>
    </xf>
    <xf numFmtId="0" fontId="23" fillId="19" borderId="10" xfId="0" applyFont="1" applyFill="1" applyBorder="1" applyAlignment="1">
      <alignment horizontal="left" vertical="top"/>
    </xf>
    <xf numFmtId="0" fontId="23" fillId="19" borderId="11" xfId="0" applyFont="1" applyFill="1" applyBorder="1" applyAlignment="1">
      <alignment horizontal="left" vertical="top"/>
    </xf>
    <xf numFmtId="0" fontId="23" fillId="19" borderId="3" xfId="0" applyFont="1" applyFill="1" applyBorder="1" applyAlignment="1">
      <alignment horizontal="left" vertical="top"/>
    </xf>
    <xf numFmtId="0" fontId="23" fillId="19" borderId="12" xfId="0" applyFont="1" applyFill="1" applyBorder="1" applyAlignment="1">
      <alignment horizontal="left" vertical="top"/>
    </xf>
    <xf numFmtId="1" fontId="16" fillId="8" borderId="37" xfId="0" applyNumberFormat="1" applyFont="1" applyFill="1" applyBorder="1" applyAlignment="1">
      <alignment horizontal="center" vertical="center"/>
    </xf>
    <xf numFmtId="1" fontId="16" fillId="8" borderId="17" xfId="0" applyNumberFormat="1" applyFont="1" applyFill="1" applyBorder="1" applyAlignment="1">
      <alignment horizontal="center" vertical="center"/>
    </xf>
    <xf numFmtId="1" fontId="16" fillId="8" borderId="40" xfId="0" applyNumberFormat="1" applyFont="1" applyFill="1" applyBorder="1" applyAlignment="1">
      <alignment horizontal="center" vertical="center"/>
    </xf>
    <xf numFmtId="0" fontId="47" fillId="0" borderId="23" xfId="0" applyFont="1" applyBorder="1" applyAlignment="1">
      <alignment horizontal="center" vertical="center" readingOrder="1"/>
    </xf>
    <xf numFmtId="0" fontId="0" fillId="0" borderId="41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0" fontId="3" fillId="0" borderId="21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2" fontId="16" fillId="8" borderId="4" xfId="0" applyNumberFormat="1" applyFont="1" applyFill="1" applyBorder="1" applyAlignment="1">
      <alignment horizontal="center" vertical="center"/>
    </xf>
    <xf numFmtId="2" fontId="16" fillId="8" borderId="69" xfId="0" applyNumberFormat="1" applyFont="1" applyFill="1" applyBorder="1" applyAlignment="1">
      <alignment horizontal="center" vertical="center"/>
    </xf>
    <xf numFmtId="0" fontId="7" fillId="8" borderId="45" xfId="0" applyFont="1" applyFill="1" applyBorder="1" applyAlignment="1">
      <alignment horizontal="center" vertical="center"/>
    </xf>
    <xf numFmtId="0" fontId="7" fillId="8" borderId="7" xfId="0" applyFont="1" applyFill="1" applyBorder="1" applyAlignment="1">
      <alignment horizontal="center" vertical="center"/>
    </xf>
    <xf numFmtId="0" fontId="7" fillId="8" borderId="33" xfId="0" applyFont="1" applyFill="1" applyBorder="1" applyAlignment="1">
      <alignment horizontal="center" vertical="center"/>
    </xf>
    <xf numFmtId="2" fontId="16" fillId="8" borderId="41" xfId="0" applyNumberFormat="1" applyFont="1" applyFill="1" applyBorder="1" applyAlignment="1">
      <alignment horizontal="center" vertical="center"/>
    </xf>
    <xf numFmtId="2" fontId="16" fillId="8" borderId="42" xfId="0" applyNumberFormat="1" applyFont="1" applyFill="1" applyBorder="1" applyAlignment="1">
      <alignment horizontal="center" vertical="center"/>
    </xf>
    <xf numFmtId="2" fontId="16" fillId="8" borderId="43" xfId="0" applyNumberFormat="1" applyFont="1" applyFill="1" applyBorder="1" applyAlignment="1">
      <alignment horizontal="center" vertical="center"/>
    </xf>
    <xf numFmtId="0" fontId="16" fillId="23" borderId="18" xfId="0" applyFont="1" applyFill="1" applyBorder="1" applyAlignment="1">
      <alignment horizontal="center" vertical="center"/>
    </xf>
    <xf numFmtId="0" fontId="16" fillId="23" borderId="19" xfId="0" applyFont="1" applyFill="1" applyBorder="1" applyAlignment="1">
      <alignment horizontal="center" vertical="center"/>
    </xf>
    <xf numFmtId="0" fontId="16" fillId="23" borderId="20" xfId="0" applyFont="1" applyFill="1" applyBorder="1" applyAlignment="1">
      <alignment horizontal="center" vertical="center"/>
    </xf>
    <xf numFmtId="0" fontId="7" fillId="8" borderId="36" xfId="0" applyFont="1" applyFill="1" applyBorder="1" applyAlignment="1">
      <alignment horizontal="center" vertical="center"/>
    </xf>
    <xf numFmtId="0" fontId="7" fillId="8" borderId="0" xfId="0" applyFont="1" applyFill="1" applyAlignment="1">
      <alignment horizontal="center" vertical="center"/>
    </xf>
    <xf numFmtId="0" fontId="7" fillId="8" borderId="4" xfId="0" applyFont="1" applyFill="1" applyBorder="1" applyAlignment="1">
      <alignment horizontal="center" vertical="center"/>
    </xf>
    <xf numFmtId="0" fontId="0" fillId="19" borderId="53" xfId="0" applyFill="1" applyBorder="1" applyAlignment="1">
      <alignment horizontal="left"/>
    </xf>
    <xf numFmtId="0" fontId="0" fillId="19" borderId="42" xfId="0" applyFill="1" applyBorder="1" applyAlignment="1">
      <alignment horizontal="left"/>
    </xf>
    <xf numFmtId="0" fontId="0" fillId="19" borderId="43" xfId="0" applyFill="1" applyBorder="1" applyAlignment="1">
      <alignment horizontal="left"/>
    </xf>
    <xf numFmtId="0" fontId="0" fillId="19" borderId="7" xfId="0" applyFill="1" applyBorder="1" applyAlignment="1">
      <alignment horizontal="left" vertical="top" wrapText="1"/>
    </xf>
    <xf numFmtId="0" fontId="0" fillId="19" borderId="8" xfId="0" applyFill="1" applyBorder="1" applyAlignment="1">
      <alignment horizontal="left" vertical="top" wrapText="1"/>
    </xf>
    <xf numFmtId="0" fontId="0" fillId="19" borderId="9" xfId="0" applyFill="1" applyBorder="1" applyAlignment="1">
      <alignment horizontal="left" vertical="top" wrapText="1"/>
    </xf>
    <xf numFmtId="0" fontId="0" fillId="19" borderId="0" xfId="0" applyFill="1" applyAlignment="1">
      <alignment horizontal="left" vertical="top" wrapText="1"/>
    </xf>
    <xf numFmtId="0" fontId="0" fillId="19" borderId="10" xfId="0" applyFill="1" applyBorder="1" applyAlignment="1">
      <alignment horizontal="left" vertical="top" wrapText="1"/>
    </xf>
    <xf numFmtId="0" fontId="0" fillId="19" borderId="11" xfId="0" applyFill="1" applyBorder="1" applyAlignment="1">
      <alignment horizontal="left" vertical="top" wrapText="1"/>
    </xf>
    <xf numFmtId="0" fontId="0" fillId="19" borderId="3" xfId="0" applyFill="1" applyBorder="1" applyAlignment="1">
      <alignment horizontal="left" vertical="top" wrapText="1"/>
    </xf>
    <xf numFmtId="0" fontId="0" fillId="19" borderId="12" xfId="0" applyFill="1" applyBorder="1" applyAlignment="1">
      <alignment horizontal="left" vertical="top" wrapText="1"/>
    </xf>
    <xf numFmtId="0" fontId="3" fillId="19" borderId="11" xfId="0" applyFont="1" applyFill="1" applyBorder="1" applyAlignment="1">
      <alignment horizontal="center"/>
    </xf>
    <xf numFmtId="0" fontId="3" fillId="19" borderId="3" xfId="0" applyFont="1" applyFill="1" applyBorder="1" applyAlignment="1">
      <alignment horizontal="center"/>
    </xf>
    <xf numFmtId="0" fontId="3" fillId="19" borderId="69" xfId="0" applyFont="1" applyFill="1" applyBorder="1" applyAlignment="1">
      <alignment horizontal="center"/>
    </xf>
    <xf numFmtId="43" fontId="16" fillId="8" borderId="36" xfId="2" applyFont="1" applyFill="1" applyBorder="1" applyAlignment="1">
      <alignment horizontal="center" vertical="center"/>
    </xf>
    <xf numFmtId="43" fontId="16" fillId="8" borderId="4" xfId="2" applyFont="1" applyFill="1" applyBorder="1" applyAlignment="1">
      <alignment horizontal="center" vertical="center"/>
    </xf>
    <xf numFmtId="0" fontId="6" fillId="23" borderId="18" xfId="0" applyFont="1" applyFill="1" applyBorder="1" applyAlignment="1">
      <alignment horizontal="center"/>
    </xf>
    <xf numFmtId="0" fontId="6" fillId="23" borderId="19" xfId="0" applyFont="1" applyFill="1" applyBorder="1" applyAlignment="1">
      <alignment horizontal="center"/>
    </xf>
    <xf numFmtId="0" fontId="6" fillId="23" borderId="20" xfId="0" applyFont="1" applyFill="1" applyBorder="1" applyAlignment="1">
      <alignment horizontal="center"/>
    </xf>
    <xf numFmtId="0" fontId="32" fillId="10" borderId="1" xfId="0" applyFont="1" applyFill="1" applyBorder="1" applyAlignment="1">
      <alignment horizontal="center"/>
    </xf>
    <xf numFmtId="0" fontId="32" fillId="10" borderId="2" xfId="0" applyFont="1" applyFill="1" applyBorder="1" applyAlignment="1">
      <alignment horizontal="center"/>
    </xf>
    <xf numFmtId="0" fontId="32" fillId="10" borderId="5" xfId="0" applyFont="1" applyFill="1" applyBorder="1" applyAlignment="1">
      <alignment horizontal="center"/>
    </xf>
    <xf numFmtId="43" fontId="16" fillId="8" borderId="70" xfId="2" applyFont="1" applyFill="1" applyBorder="1" applyAlignment="1">
      <alignment horizontal="center" vertical="center"/>
    </xf>
    <xf numFmtId="43" fontId="16" fillId="8" borderId="69" xfId="2" applyFont="1" applyFill="1" applyBorder="1" applyAlignment="1">
      <alignment horizontal="center" vertical="center"/>
    </xf>
    <xf numFmtId="43" fontId="16" fillId="8" borderId="41" xfId="2" applyFont="1" applyFill="1" applyBorder="1" applyAlignment="1">
      <alignment horizontal="center" vertical="center"/>
    </xf>
    <xf numFmtId="43" fontId="16" fillId="8" borderId="43" xfId="2" applyFont="1" applyFill="1" applyBorder="1" applyAlignment="1">
      <alignment horizontal="center" vertical="center"/>
    </xf>
    <xf numFmtId="0" fontId="7" fillId="8" borderId="40" xfId="0" applyFont="1" applyFill="1" applyBorder="1" applyAlignment="1">
      <alignment horizontal="center" vertical="center"/>
    </xf>
    <xf numFmtId="0" fontId="0" fillId="14" borderId="18" xfId="0" applyFill="1" applyBorder="1" applyAlignment="1">
      <alignment horizontal="center"/>
    </xf>
    <xf numFmtId="0" fontId="0" fillId="14" borderId="19" xfId="0" applyFill="1" applyBorder="1" applyAlignment="1">
      <alignment horizontal="center"/>
    </xf>
    <xf numFmtId="0" fontId="0" fillId="14" borderId="20" xfId="0" applyFill="1" applyBorder="1" applyAlignment="1">
      <alignment horizontal="center"/>
    </xf>
    <xf numFmtId="0" fontId="33" fillId="7" borderId="1" xfId="0" applyFont="1" applyFill="1" applyBorder="1" applyAlignment="1">
      <alignment horizontal="center" vertical="center"/>
    </xf>
    <xf numFmtId="0" fontId="33" fillId="7" borderId="2" xfId="0" applyFont="1" applyFill="1" applyBorder="1" applyAlignment="1">
      <alignment horizontal="center" vertical="center"/>
    </xf>
    <xf numFmtId="0" fontId="33" fillId="7" borderId="5" xfId="0" applyFont="1" applyFill="1" applyBorder="1" applyAlignment="1">
      <alignment horizontal="center" vertical="center"/>
    </xf>
    <xf numFmtId="0" fontId="16" fillId="16" borderId="1" xfId="0" applyFont="1" applyFill="1" applyBorder="1" applyAlignment="1">
      <alignment horizontal="center" vertical="center"/>
    </xf>
    <xf numFmtId="0" fontId="16" fillId="16" borderId="2" xfId="0" applyFont="1" applyFill="1" applyBorder="1" applyAlignment="1">
      <alignment horizontal="center" vertical="center"/>
    </xf>
    <xf numFmtId="0" fontId="16" fillId="16" borderId="5" xfId="0" applyFont="1" applyFill="1" applyBorder="1" applyAlignment="1">
      <alignment horizontal="center" vertical="center"/>
    </xf>
    <xf numFmtId="0" fontId="0" fillId="4" borderId="18" xfId="0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0" fillId="4" borderId="20" xfId="0" applyFill="1" applyBorder="1" applyAlignment="1">
      <alignment horizontal="center"/>
    </xf>
    <xf numFmtId="0" fontId="0" fillId="10" borderId="18" xfId="0" applyFill="1" applyBorder="1" applyAlignment="1">
      <alignment horizontal="center"/>
    </xf>
    <xf numFmtId="0" fontId="0" fillId="10" borderId="19" xfId="0" applyFill="1" applyBorder="1" applyAlignment="1">
      <alignment horizontal="center"/>
    </xf>
    <xf numFmtId="0" fontId="0" fillId="9" borderId="19" xfId="0" applyFill="1" applyBorder="1" applyAlignment="1">
      <alignment horizontal="center"/>
    </xf>
    <xf numFmtId="0" fontId="0" fillId="8" borderId="18" xfId="0" applyFill="1" applyBorder="1" applyAlignment="1">
      <alignment horizontal="center"/>
    </xf>
    <xf numFmtId="0" fontId="0" fillId="8" borderId="19" xfId="0" applyFill="1" applyBorder="1" applyAlignment="1">
      <alignment horizontal="center"/>
    </xf>
    <xf numFmtId="0" fontId="0" fillId="8" borderId="20" xfId="0" applyFill="1" applyBorder="1" applyAlignment="1">
      <alignment horizontal="center"/>
    </xf>
    <xf numFmtId="0" fontId="0" fillId="16" borderId="19" xfId="0" applyFill="1" applyBorder="1" applyAlignment="1">
      <alignment horizontal="center"/>
    </xf>
    <xf numFmtId="0" fontId="0" fillId="9" borderId="18" xfId="0" applyFill="1" applyBorder="1" applyAlignment="1">
      <alignment horizontal="center"/>
    </xf>
    <xf numFmtId="0" fontId="0" fillId="16" borderId="20" xfId="0" applyFill="1" applyBorder="1" applyAlignment="1">
      <alignment horizontal="center"/>
    </xf>
    <xf numFmtId="0" fontId="0" fillId="9" borderId="53" xfId="0" applyFill="1" applyBorder="1" applyAlignment="1">
      <alignment horizontal="center"/>
    </xf>
    <xf numFmtId="0" fontId="0" fillId="9" borderId="42" xfId="0" applyFill="1" applyBorder="1" applyAlignment="1">
      <alignment horizontal="center"/>
    </xf>
    <xf numFmtId="0" fontId="0" fillId="9" borderId="43" xfId="0" applyFill="1" applyBorder="1" applyAlignment="1">
      <alignment horizontal="center"/>
    </xf>
    <xf numFmtId="0" fontId="0" fillId="9" borderId="53" xfId="0" applyFill="1" applyBorder="1" applyAlignment="1">
      <alignment horizontal="center" vertical="center"/>
    </xf>
    <xf numFmtId="0" fontId="0" fillId="9" borderId="42" xfId="0" applyFill="1" applyBorder="1" applyAlignment="1">
      <alignment horizontal="center" vertical="center"/>
    </xf>
    <xf numFmtId="0" fontId="0" fillId="9" borderId="43" xfId="0" applyFill="1" applyBorder="1" applyAlignment="1">
      <alignment horizontal="center" vertical="center"/>
    </xf>
    <xf numFmtId="0" fontId="0" fillId="13" borderId="53" xfId="0" applyFill="1" applyBorder="1" applyAlignment="1">
      <alignment horizontal="center"/>
    </xf>
    <xf numFmtId="0" fontId="0" fillId="13" borderId="42" xfId="0" applyFill="1" applyBorder="1" applyAlignment="1">
      <alignment horizontal="center"/>
    </xf>
    <xf numFmtId="0" fontId="0" fillId="13" borderId="43" xfId="0" applyFill="1" applyBorder="1" applyAlignment="1">
      <alignment horizontal="center"/>
    </xf>
    <xf numFmtId="0" fontId="0" fillId="13" borderId="47" xfId="0" applyFill="1" applyBorder="1" applyAlignment="1">
      <alignment horizontal="center"/>
    </xf>
    <xf numFmtId="0" fontId="0" fillId="13" borderId="32" xfId="0" applyFill="1" applyBorder="1" applyAlignment="1">
      <alignment horizontal="center"/>
    </xf>
    <xf numFmtId="0" fontId="0" fillId="16" borderId="18" xfId="0" applyFill="1" applyBorder="1" applyAlignment="1">
      <alignment horizontal="center"/>
    </xf>
    <xf numFmtId="0" fontId="0" fillId="9" borderId="20" xfId="0" applyFill="1" applyBorder="1" applyAlignment="1">
      <alignment horizontal="center"/>
    </xf>
    <xf numFmtId="0" fontId="10" fillId="21" borderId="11" xfId="0" applyFont="1" applyFill="1" applyBorder="1" applyAlignment="1">
      <alignment horizontal="center" vertical="center"/>
    </xf>
    <xf numFmtId="0" fontId="10" fillId="21" borderId="3" xfId="0" applyFont="1" applyFill="1" applyBorder="1" applyAlignment="1">
      <alignment horizontal="center" vertical="center"/>
    </xf>
    <xf numFmtId="0" fontId="22" fillId="7" borderId="67" xfId="0" applyFont="1" applyFill="1" applyBorder="1" applyAlignment="1">
      <alignment horizontal="center"/>
    </xf>
    <xf numFmtId="0" fontId="22" fillId="7" borderId="68" xfId="0" applyFont="1" applyFill="1" applyBorder="1" applyAlignment="1">
      <alignment horizontal="center"/>
    </xf>
    <xf numFmtId="0" fontId="22" fillId="7" borderId="74" xfId="0" applyFont="1" applyFill="1" applyBorder="1" applyAlignment="1">
      <alignment horizontal="center"/>
    </xf>
    <xf numFmtId="0" fontId="0" fillId="21" borderId="53" xfId="0" applyFill="1" applyBorder="1" applyAlignment="1">
      <alignment horizontal="center"/>
    </xf>
    <xf numFmtId="0" fontId="0" fillId="21" borderId="42" xfId="0" applyFill="1" applyBorder="1" applyAlignment="1">
      <alignment horizontal="center"/>
    </xf>
    <xf numFmtId="0" fontId="0" fillId="21" borderId="43" xfId="0" applyFill="1" applyBorder="1" applyAlignment="1">
      <alignment horizontal="center"/>
    </xf>
    <xf numFmtId="2" fontId="0" fillId="9" borderId="18" xfId="0" applyNumberFormat="1" applyFill="1" applyBorder="1" applyAlignment="1">
      <alignment horizontal="center" vertical="center"/>
    </xf>
    <xf numFmtId="2" fontId="0" fillId="9" borderId="19" xfId="0" applyNumberFormat="1" applyFill="1" applyBorder="1" applyAlignment="1">
      <alignment horizontal="center" vertical="center"/>
    </xf>
    <xf numFmtId="2" fontId="0" fillId="9" borderId="49" xfId="0" applyNumberFormat="1" applyFill="1" applyBorder="1" applyAlignment="1">
      <alignment horizontal="center" vertical="center"/>
    </xf>
    <xf numFmtId="0" fontId="0" fillId="13" borderId="18" xfId="0" applyFill="1" applyBorder="1" applyAlignment="1">
      <alignment horizontal="center"/>
    </xf>
    <xf numFmtId="0" fontId="0" fillId="13" borderId="19" xfId="0" applyFill="1" applyBorder="1" applyAlignment="1">
      <alignment horizontal="center"/>
    </xf>
    <xf numFmtId="0" fontId="0" fillId="13" borderId="49" xfId="0" applyFill="1" applyBorder="1" applyAlignment="1">
      <alignment horizontal="center"/>
    </xf>
    <xf numFmtId="2" fontId="0" fillId="9" borderId="53" xfId="0" applyNumberFormat="1" applyFill="1" applyBorder="1" applyAlignment="1">
      <alignment horizontal="center" vertical="center"/>
    </xf>
    <xf numFmtId="2" fontId="0" fillId="9" borderId="42" xfId="0" applyNumberFormat="1" applyFill="1" applyBorder="1" applyAlignment="1">
      <alignment horizontal="center" vertical="center"/>
    </xf>
    <xf numFmtId="2" fontId="0" fillId="9" borderId="43" xfId="0" applyNumberFormat="1" applyFill="1" applyBorder="1" applyAlignment="1">
      <alignment horizontal="center" vertical="center"/>
    </xf>
    <xf numFmtId="0" fontId="22" fillId="7" borderId="1" xfId="0" applyFont="1" applyFill="1" applyBorder="1" applyAlignment="1">
      <alignment horizontal="center" vertical="center"/>
    </xf>
    <xf numFmtId="0" fontId="22" fillId="7" borderId="2" xfId="0" applyFont="1" applyFill="1" applyBorder="1" applyAlignment="1">
      <alignment horizontal="center" vertical="center"/>
    </xf>
    <xf numFmtId="0" fontId="22" fillId="7" borderId="5" xfId="0" applyFont="1" applyFill="1" applyBorder="1" applyAlignment="1">
      <alignment horizontal="center" vertical="center"/>
    </xf>
    <xf numFmtId="0" fontId="0" fillId="24" borderId="61" xfId="0" applyFill="1" applyBorder="1" applyAlignment="1">
      <alignment horizontal="center"/>
    </xf>
    <xf numFmtId="0" fontId="0" fillId="24" borderId="64" xfId="0" applyFill="1" applyBorder="1" applyAlignment="1">
      <alignment horizontal="center"/>
    </xf>
    <xf numFmtId="0" fontId="0" fillId="24" borderId="54" xfId="0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0" fillId="13" borderId="2" xfId="0" applyFill="1" applyBorder="1" applyAlignment="1">
      <alignment horizontal="center"/>
    </xf>
    <xf numFmtId="0" fontId="0" fillId="13" borderId="5" xfId="0" applyFill="1" applyBorder="1" applyAlignment="1">
      <alignment horizontal="center"/>
    </xf>
    <xf numFmtId="0" fontId="0" fillId="13" borderId="21" xfId="0" applyFill="1" applyBorder="1" applyAlignment="1">
      <alignment horizontal="center"/>
    </xf>
    <xf numFmtId="0" fontId="0" fillId="13" borderId="17" xfId="0" applyFill="1" applyBorder="1" applyAlignment="1">
      <alignment horizontal="center"/>
    </xf>
    <xf numFmtId="0" fontId="0" fillId="13" borderId="40" xfId="0" applyFill="1" applyBorder="1" applyAlignment="1">
      <alignment horizontal="center"/>
    </xf>
    <xf numFmtId="0" fontId="19" fillId="4" borderId="6" xfId="0" applyFont="1" applyFill="1" applyBorder="1" applyAlignment="1">
      <alignment horizontal="center" vertical="center"/>
    </xf>
    <xf numFmtId="0" fontId="19" fillId="4" borderId="7" xfId="0" applyFont="1" applyFill="1" applyBorder="1" applyAlignment="1">
      <alignment horizontal="center" vertical="center"/>
    </xf>
    <xf numFmtId="0" fontId="19" fillId="4" borderId="8" xfId="0" applyFont="1" applyFill="1" applyBorder="1" applyAlignment="1">
      <alignment horizontal="center" vertical="center"/>
    </xf>
    <xf numFmtId="0" fontId="19" fillId="4" borderId="11" xfId="0" applyFont="1" applyFill="1" applyBorder="1" applyAlignment="1">
      <alignment horizontal="center" vertical="center"/>
    </xf>
    <xf numFmtId="0" fontId="19" fillId="4" borderId="3" xfId="0" applyFont="1" applyFill="1" applyBorder="1" applyAlignment="1">
      <alignment horizontal="center" vertical="center"/>
    </xf>
    <xf numFmtId="0" fontId="19" fillId="4" borderId="12" xfId="0" applyFont="1" applyFill="1" applyBorder="1" applyAlignment="1">
      <alignment horizontal="center" vertical="center"/>
    </xf>
  </cellXfs>
  <cellStyles count="5">
    <cellStyle name="Comma" xfId="2" builtinId="3"/>
    <cellStyle name="Currency" xfId="3" builtinId="4"/>
    <cellStyle name="Hyperlink" xfId="4" builtinId="8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'#of logs'!$C$7:$C$536</c:f>
              <c:numCache>
                <c:formatCode>_(* #,##0_);_(* \(#,##0\);_(* "-"??_);_(@_)</c:formatCode>
                <c:ptCount val="530"/>
                <c:pt idx="0">
                  <c:v>20</c:v>
                </c:pt>
                <c:pt idx="1">
                  <c:v>23</c:v>
                </c:pt>
                <c:pt idx="2">
                  <c:v>25</c:v>
                </c:pt>
                <c:pt idx="3">
                  <c:v>9</c:v>
                </c:pt>
                <c:pt idx="4">
                  <c:v>12</c:v>
                </c:pt>
                <c:pt idx="5">
                  <c:v>8</c:v>
                </c:pt>
                <c:pt idx="6">
                  <c:v>10</c:v>
                </c:pt>
                <c:pt idx="7">
                  <c:v>12</c:v>
                </c:pt>
                <c:pt idx="8">
                  <c:v>6</c:v>
                </c:pt>
                <c:pt idx="9">
                  <c:v>16</c:v>
                </c:pt>
                <c:pt idx="10">
                  <c:v>6</c:v>
                </c:pt>
                <c:pt idx="11">
                  <c:v>8</c:v>
                </c:pt>
                <c:pt idx="12">
                  <c:v>10</c:v>
                </c:pt>
                <c:pt idx="13">
                  <c:v>10</c:v>
                </c:pt>
                <c:pt idx="14">
                  <c:v>8</c:v>
                </c:pt>
                <c:pt idx="15">
                  <c:v>9</c:v>
                </c:pt>
                <c:pt idx="16">
                  <c:v>9</c:v>
                </c:pt>
                <c:pt idx="17">
                  <c:v>8</c:v>
                </c:pt>
                <c:pt idx="18">
                  <c:v>14</c:v>
                </c:pt>
                <c:pt idx="19">
                  <c:v>12</c:v>
                </c:pt>
                <c:pt idx="20">
                  <c:v>18</c:v>
                </c:pt>
                <c:pt idx="21">
                  <c:v>11</c:v>
                </c:pt>
                <c:pt idx="22">
                  <c:v>7</c:v>
                </c:pt>
                <c:pt idx="23">
                  <c:v>18</c:v>
                </c:pt>
                <c:pt idx="24">
                  <c:v>7</c:v>
                </c:pt>
                <c:pt idx="25">
                  <c:v>10</c:v>
                </c:pt>
                <c:pt idx="26">
                  <c:v>7</c:v>
                </c:pt>
                <c:pt idx="27">
                  <c:v>8</c:v>
                </c:pt>
                <c:pt idx="28">
                  <c:v>6</c:v>
                </c:pt>
                <c:pt idx="29">
                  <c:v>19</c:v>
                </c:pt>
                <c:pt idx="30">
                  <c:v>8</c:v>
                </c:pt>
                <c:pt idx="31">
                  <c:v>23</c:v>
                </c:pt>
                <c:pt idx="32">
                  <c:v>8</c:v>
                </c:pt>
                <c:pt idx="33">
                  <c:v>8</c:v>
                </c:pt>
                <c:pt idx="34">
                  <c:v>11</c:v>
                </c:pt>
                <c:pt idx="35">
                  <c:v>13</c:v>
                </c:pt>
                <c:pt idx="36">
                  <c:v>20</c:v>
                </c:pt>
                <c:pt idx="37">
                  <c:v>14</c:v>
                </c:pt>
                <c:pt idx="38">
                  <c:v>10</c:v>
                </c:pt>
                <c:pt idx="39">
                  <c:v>6</c:v>
                </c:pt>
                <c:pt idx="40">
                  <c:v>6</c:v>
                </c:pt>
                <c:pt idx="41">
                  <c:v>17</c:v>
                </c:pt>
                <c:pt idx="42">
                  <c:v>9</c:v>
                </c:pt>
                <c:pt idx="43">
                  <c:v>16</c:v>
                </c:pt>
                <c:pt idx="44">
                  <c:v>8</c:v>
                </c:pt>
                <c:pt idx="45">
                  <c:v>21</c:v>
                </c:pt>
                <c:pt idx="46">
                  <c:v>12</c:v>
                </c:pt>
                <c:pt idx="47">
                  <c:v>11</c:v>
                </c:pt>
                <c:pt idx="48">
                  <c:v>6</c:v>
                </c:pt>
                <c:pt idx="49">
                  <c:v>17</c:v>
                </c:pt>
                <c:pt idx="50">
                  <c:v>20</c:v>
                </c:pt>
                <c:pt idx="51">
                  <c:v>12</c:v>
                </c:pt>
                <c:pt idx="52">
                  <c:v>23</c:v>
                </c:pt>
                <c:pt idx="53">
                  <c:v>14</c:v>
                </c:pt>
                <c:pt idx="54">
                  <c:v>21</c:v>
                </c:pt>
                <c:pt idx="55">
                  <c:v>11</c:v>
                </c:pt>
                <c:pt idx="56">
                  <c:v>12</c:v>
                </c:pt>
                <c:pt idx="57">
                  <c:v>12</c:v>
                </c:pt>
                <c:pt idx="58">
                  <c:v>15</c:v>
                </c:pt>
                <c:pt idx="59">
                  <c:v>13</c:v>
                </c:pt>
                <c:pt idx="60">
                  <c:v>15</c:v>
                </c:pt>
                <c:pt idx="61">
                  <c:v>12</c:v>
                </c:pt>
                <c:pt idx="62">
                  <c:v>15</c:v>
                </c:pt>
                <c:pt idx="63">
                  <c:v>9</c:v>
                </c:pt>
                <c:pt idx="64">
                  <c:v>21</c:v>
                </c:pt>
                <c:pt idx="65">
                  <c:v>9</c:v>
                </c:pt>
                <c:pt idx="66">
                  <c:v>8</c:v>
                </c:pt>
                <c:pt idx="67">
                  <c:v>17</c:v>
                </c:pt>
                <c:pt idx="68">
                  <c:v>8</c:v>
                </c:pt>
                <c:pt idx="69">
                  <c:v>8</c:v>
                </c:pt>
                <c:pt idx="70">
                  <c:v>8</c:v>
                </c:pt>
                <c:pt idx="71">
                  <c:v>6</c:v>
                </c:pt>
                <c:pt idx="72">
                  <c:v>9</c:v>
                </c:pt>
                <c:pt idx="73">
                  <c:v>23</c:v>
                </c:pt>
                <c:pt idx="74">
                  <c:v>20</c:v>
                </c:pt>
                <c:pt idx="75">
                  <c:v>12</c:v>
                </c:pt>
                <c:pt idx="76">
                  <c:v>14</c:v>
                </c:pt>
                <c:pt idx="77">
                  <c:v>8</c:v>
                </c:pt>
                <c:pt idx="78">
                  <c:v>11</c:v>
                </c:pt>
                <c:pt idx="79">
                  <c:v>10</c:v>
                </c:pt>
                <c:pt idx="80">
                  <c:v>6</c:v>
                </c:pt>
                <c:pt idx="81">
                  <c:v>22</c:v>
                </c:pt>
                <c:pt idx="82">
                  <c:v>16</c:v>
                </c:pt>
                <c:pt idx="83">
                  <c:v>13</c:v>
                </c:pt>
                <c:pt idx="84">
                  <c:v>11</c:v>
                </c:pt>
                <c:pt idx="85">
                  <c:v>14</c:v>
                </c:pt>
                <c:pt idx="86">
                  <c:v>9</c:v>
                </c:pt>
                <c:pt idx="87">
                  <c:v>20</c:v>
                </c:pt>
                <c:pt idx="88">
                  <c:v>13</c:v>
                </c:pt>
                <c:pt idx="89">
                  <c:v>19</c:v>
                </c:pt>
                <c:pt idx="90">
                  <c:v>8</c:v>
                </c:pt>
                <c:pt idx="91">
                  <c:v>8</c:v>
                </c:pt>
                <c:pt idx="92">
                  <c:v>6</c:v>
                </c:pt>
                <c:pt idx="93">
                  <c:v>17</c:v>
                </c:pt>
                <c:pt idx="94">
                  <c:v>12</c:v>
                </c:pt>
                <c:pt idx="95">
                  <c:v>8</c:v>
                </c:pt>
                <c:pt idx="96">
                  <c:v>11</c:v>
                </c:pt>
                <c:pt idx="97">
                  <c:v>14</c:v>
                </c:pt>
                <c:pt idx="98">
                  <c:v>5</c:v>
                </c:pt>
                <c:pt idx="99">
                  <c:v>12</c:v>
                </c:pt>
                <c:pt idx="100">
                  <c:v>18</c:v>
                </c:pt>
                <c:pt idx="101">
                  <c:v>18</c:v>
                </c:pt>
                <c:pt idx="102">
                  <c:v>16</c:v>
                </c:pt>
                <c:pt idx="103">
                  <c:v>15</c:v>
                </c:pt>
                <c:pt idx="104">
                  <c:v>10</c:v>
                </c:pt>
                <c:pt idx="105">
                  <c:v>23</c:v>
                </c:pt>
                <c:pt idx="106">
                  <c:v>14</c:v>
                </c:pt>
                <c:pt idx="107">
                  <c:v>15</c:v>
                </c:pt>
                <c:pt idx="108">
                  <c:v>10</c:v>
                </c:pt>
                <c:pt idx="109">
                  <c:v>10</c:v>
                </c:pt>
                <c:pt idx="110">
                  <c:v>8</c:v>
                </c:pt>
                <c:pt idx="111">
                  <c:v>8</c:v>
                </c:pt>
                <c:pt idx="112">
                  <c:v>10</c:v>
                </c:pt>
                <c:pt idx="113">
                  <c:v>10</c:v>
                </c:pt>
                <c:pt idx="114">
                  <c:v>19</c:v>
                </c:pt>
                <c:pt idx="115">
                  <c:v>10</c:v>
                </c:pt>
                <c:pt idx="116">
                  <c:v>12</c:v>
                </c:pt>
                <c:pt idx="117">
                  <c:v>11</c:v>
                </c:pt>
                <c:pt idx="118">
                  <c:v>17</c:v>
                </c:pt>
                <c:pt idx="119">
                  <c:v>9</c:v>
                </c:pt>
                <c:pt idx="120">
                  <c:v>8</c:v>
                </c:pt>
                <c:pt idx="121">
                  <c:v>9</c:v>
                </c:pt>
                <c:pt idx="122">
                  <c:v>7</c:v>
                </c:pt>
                <c:pt idx="123">
                  <c:v>15</c:v>
                </c:pt>
                <c:pt idx="124">
                  <c:v>19</c:v>
                </c:pt>
                <c:pt idx="125">
                  <c:v>20</c:v>
                </c:pt>
                <c:pt idx="126">
                  <c:v>17</c:v>
                </c:pt>
                <c:pt idx="127">
                  <c:v>10</c:v>
                </c:pt>
                <c:pt idx="128">
                  <c:v>15</c:v>
                </c:pt>
                <c:pt idx="129">
                  <c:v>16</c:v>
                </c:pt>
                <c:pt idx="130">
                  <c:v>22</c:v>
                </c:pt>
                <c:pt idx="131">
                  <c:v>24</c:v>
                </c:pt>
                <c:pt idx="132">
                  <c:v>12</c:v>
                </c:pt>
                <c:pt idx="133">
                  <c:v>12</c:v>
                </c:pt>
                <c:pt idx="134">
                  <c:v>8</c:v>
                </c:pt>
                <c:pt idx="135">
                  <c:v>24</c:v>
                </c:pt>
                <c:pt idx="136">
                  <c:v>11</c:v>
                </c:pt>
                <c:pt idx="137">
                  <c:v>12</c:v>
                </c:pt>
                <c:pt idx="138">
                  <c:v>26</c:v>
                </c:pt>
                <c:pt idx="139">
                  <c:v>20</c:v>
                </c:pt>
                <c:pt idx="140">
                  <c:v>16</c:v>
                </c:pt>
                <c:pt idx="141">
                  <c:v>24</c:v>
                </c:pt>
                <c:pt idx="142">
                  <c:v>24</c:v>
                </c:pt>
                <c:pt idx="143">
                  <c:v>25</c:v>
                </c:pt>
                <c:pt idx="144">
                  <c:v>13</c:v>
                </c:pt>
                <c:pt idx="145">
                  <c:v>14</c:v>
                </c:pt>
                <c:pt idx="146">
                  <c:v>27</c:v>
                </c:pt>
                <c:pt idx="147">
                  <c:v>17</c:v>
                </c:pt>
                <c:pt idx="148">
                  <c:v>13</c:v>
                </c:pt>
                <c:pt idx="149">
                  <c:v>28</c:v>
                </c:pt>
                <c:pt idx="150">
                  <c:v>25</c:v>
                </c:pt>
                <c:pt idx="151">
                  <c:v>9</c:v>
                </c:pt>
                <c:pt idx="152">
                  <c:v>8</c:v>
                </c:pt>
                <c:pt idx="153">
                  <c:v>8</c:v>
                </c:pt>
                <c:pt idx="154">
                  <c:v>6</c:v>
                </c:pt>
                <c:pt idx="155">
                  <c:v>5</c:v>
                </c:pt>
                <c:pt idx="156">
                  <c:v>10</c:v>
                </c:pt>
                <c:pt idx="157">
                  <c:v>11</c:v>
                </c:pt>
                <c:pt idx="158">
                  <c:v>13</c:v>
                </c:pt>
                <c:pt idx="159">
                  <c:v>6</c:v>
                </c:pt>
                <c:pt idx="160">
                  <c:v>11</c:v>
                </c:pt>
                <c:pt idx="161">
                  <c:v>9</c:v>
                </c:pt>
                <c:pt idx="162">
                  <c:v>17</c:v>
                </c:pt>
                <c:pt idx="163">
                  <c:v>9</c:v>
                </c:pt>
                <c:pt idx="164">
                  <c:v>8</c:v>
                </c:pt>
                <c:pt idx="165">
                  <c:v>15</c:v>
                </c:pt>
                <c:pt idx="166">
                  <c:v>10</c:v>
                </c:pt>
                <c:pt idx="167">
                  <c:v>16</c:v>
                </c:pt>
                <c:pt idx="168">
                  <c:v>16</c:v>
                </c:pt>
                <c:pt idx="169">
                  <c:v>16</c:v>
                </c:pt>
                <c:pt idx="170">
                  <c:v>14</c:v>
                </c:pt>
                <c:pt idx="171">
                  <c:v>14</c:v>
                </c:pt>
                <c:pt idx="172">
                  <c:v>10</c:v>
                </c:pt>
                <c:pt idx="173">
                  <c:v>10</c:v>
                </c:pt>
                <c:pt idx="174">
                  <c:v>12</c:v>
                </c:pt>
                <c:pt idx="175">
                  <c:v>13</c:v>
                </c:pt>
                <c:pt idx="176">
                  <c:v>11</c:v>
                </c:pt>
                <c:pt idx="177">
                  <c:v>8</c:v>
                </c:pt>
                <c:pt idx="178">
                  <c:v>12</c:v>
                </c:pt>
                <c:pt idx="179">
                  <c:v>6</c:v>
                </c:pt>
                <c:pt idx="180">
                  <c:v>13</c:v>
                </c:pt>
                <c:pt idx="181">
                  <c:v>15</c:v>
                </c:pt>
                <c:pt idx="182">
                  <c:v>13</c:v>
                </c:pt>
                <c:pt idx="183">
                  <c:v>11</c:v>
                </c:pt>
                <c:pt idx="184">
                  <c:v>13</c:v>
                </c:pt>
                <c:pt idx="185">
                  <c:v>8</c:v>
                </c:pt>
                <c:pt idx="186">
                  <c:v>6</c:v>
                </c:pt>
                <c:pt idx="187">
                  <c:v>7</c:v>
                </c:pt>
                <c:pt idx="188">
                  <c:v>14</c:v>
                </c:pt>
                <c:pt idx="189">
                  <c:v>17</c:v>
                </c:pt>
                <c:pt idx="190">
                  <c:v>11</c:v>
                </c:pt>
                <c:pt idx="191">
                  <c:v>16</c:v>
                </c:pt>
                <c:pt idx="192">
                  <c:v>11</c:v>
                </c:pt>
                <c:pt idx="193">
                  <c:v>16</c:v>
                </c:pt>
                <c:pt idx="194">
                  <c:v>11</c:v>
                </c:pt>
                <c:pt idx="195">
                  <c:v>8</c:v>
                </c:pt>
                <c:pt idx="196">
                  <c:v>8</c:v>
                </c:pt>
                <c:pt idx="197">
                  <c:v>6</c:v>
                </c:pt>
                <c:pt idx="198">
                  <c:v>9</c:v>
                </c:pt>
                <c:pt idx="199">
                  <c:v>15</c:v>
                </c:pt>
                <c:pt idx="200">
                  <c:v>14</c:v>
                </c:pt>
                <c:pt idx="201">
                  <c:v>7</c:v>
                </c:pt>
                <c:pt idx="202">
                  <c:v>10</c:v>
                </c:pt>
                <c:pt idx="203">
                  <c:v>9</c:v>
                </c:pt>
                <c:pt idx="204">
                  <c:v>13</c:v>
                </c:pt>
                <c:pt idx="205">
                  <c:v>21</c:v>
                </c:pt>
                <c:pt idx="206">
                  <c:v>7</c:v>
                </c:pt>
                <c:pt idx="207">
                  <c:v>14</c:v>
                </c:pt>
                <c:pt idx="208">
                  <c:v>5</c:v>
                </c:pt>
                <c:pt idx="209">
                  <c:v>16</c:v>
                </c:pt>
                <c:pt idx="210">
                  <c:v>15</c:v>
                </c:pt>
                <c:pt idx="211">
                  <c:v>17</c:v>
                </c:pt>
                <c:pt idx="212">
                  <c:v>7</c:v>
                </c:pt>
                <c:pt idx="213">
                  <c:v>7</c:v>
                </c:pt>
                <c:pt idx="214">
                  <c:v>7</c:v>
                </c:pt>
                <c:pt idx="215">
                  <c:v>8</c:v>
                </c:pt>
                <c:pt idx="216">
                  <c:v>7</c:v>
                </c:pt>
                <c:pt idx="217">
                  <c:v>7</c:v>
                </c:pt>
                <c:pt idx="218">
                  <c:v>7</c:v>
                </c:pt>
                <c:pt idx="219">
                  <c:v>12</c:v>
                </c:pt>
                <c:pt idx="220">
                  <c:v>10</c:v>
                </c:pt>
                <c:pt idx="221">
                  <c:v>20</c:v>
                </c:pt>
                <c:pt idx="222">
                  <c:v>19</c:v>
                </c:pt>
                <c:pt idx="223">
                  <c:v>9</c:v>
                </c:pt>
                <c:pt idx="224">
                  <c:v>16</c:v>
                </c:pt>
                <c:pt idx="225">
                  <c:v>13</c:v>
                </c:pt>
                <c:pt idx="226">
                  <c:v>16</c:v>
                </c:pt>
                <c:pt idx="227">
                  <c:v>20</c:v>
                </c:pt>
                <c:pt idx="228">
                  <c:v>10</c:v>
                </c:pt>
                <c:pt idx="229">
                  <c:v>26</c:v>
                </c:pt>
                <c:pt idx="230">
                  <c:v>7</c:v>
                </c:pt>
                <c:pt idx="231">
                  <c:v>8</c:v>
                </c:pt>
                <c:pt idx="232">
                  <c:v>9</c:v>
                </c:pt>
                <c:pt idx="233">
                  <c:v>13</c:v>
                </c:pt>
                <c:pt idx="234">
                  <c:v>14</c:v>
                </c:pt>
                <c:pt idx="235">
                  <c:v>9</c:v>
                </c:pt>
                <c:pt idx="236">
                  <c:v>26</c:v>
                </c:pt>
                <c:pt idx="237">
                  <c:v>10</c:v>
                </c:pt>
                <c:pt idx="238">
                  <c:v>20</c:v>
                </c:pt>
                <c:pt idx="239">
                  <c:v>9</c:v>
                </c:pt>
                <c:pt idx="240">
                  <c:v>18</c:v>
                </c:pt>
                <c:pt idx="241">
                  <c:v>22</c:v>
                </c:pt>
                <c:pt idx="242">
                  <c:v>14</c:v>
                </c:pt>
                <c:pt idx="243">
                  <c:v>14</c:v>
                </c:pt>
                <c:pt idx="244">
                  <c:v>12</c:v>
                </c:pt>
                <c:pt idx="245">
                  <c:v>5</c:v>
                </c:pt>
                <c:pt idx="246">
                  <c:v>6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8</c:v>
                </c:pt>
                <c:pt idx="251">
                  <c:v>25</c:v>
                </c:pt>
                <c:pt idx="252">
                  <c:v>10</c:v>
                </c:pt>
                <c:pt idx="253">
                  <c:v>11</c:v>
                </c:pt>
                <c:pt idx="254">
                  <c:v>9</c:v>
                </c:pt>
                <c:pt idx="255">
                  <c:v>10</c:v>
                </c:pt>
                <c:pt idx="256">
                  <c:v>8</c:v>
                </c:pt>
                <c:pt idx="257">
                  <c:v>8</c:v>
                </c:pt>
                <c:pt idx="258">
                  <c:v>12</c:v>
                </c:pt>
                <c:pt idx="259">
                  <c:v>8</c:v>
                </c:pt>
                <c:pt idx="260">
                  <c:v>10</c:v>
                </c:pt>
                <c:pt idx="261">
                  <c:v>10</c:v>
                </c:pt>
                <c:pt idx="262">
                  <c:v>18</c:v>
                </c:pt>
                <c:pt idx="263">
                  <c:v>26</c:v>
                </c:pt>
                <c:pt idx="264">
                  <c:v>10</c:v>
                </c:pt>
                <c:pt idx="265">
                  <c:v>7</c:v>
                </c:pt>
                <c:pt idx="266">
                  <c:v>14</c:v>
                </c:pt>
                <c:pt idx="267">
                  <c:v>7</c:v>
                </c:pt>
                <c:pt idx="268">
                  <c:v>25</c:v>
                </c:pt>
                <c:pt idx="269">
                  <c:v>10</c:v>
                </c:pt>
                <c:pt idx="270">
                  <c:v>10</c:v>
                </c:pt>
                <c:pt idx="271">
                  <c:v>14</c:v>
                </c:pt>
                <c:pt idx="272">
                  <c:v>14</c:v>
                </c:pt>
                <c:pt idx="273">
                  <c:v>12</c:v>
                </c:pt>
                <c:pt idx="274">
                  <c:v>6</c:v>
                </c:pt>
                <c:pt idx="275">
                  <c:v>6</c:v>
                </c:pt>
                <c:pt idx="276">
                  <c:v>9</c:v>
                </c:pt>
                <c:pt idx="277">
                  <c:v>12</c:v>
                </c:pt>
                <c:pt idx="278">
                  <c:v>14</c:v>
                </c:pt>
                <c:pt idx="279">
                  <c:v>7</c:v>
                </c:pt>
                <c:pt idx="280">
                  <c:v>15</c:v>
                </c:pt>
                <c:pt idx="281">
                  <c:v>14</c:v>
                </c:pt>
                <c:pt idx="282">
                  <c:v>11</c:v>
                </c:pt>
                <c:pt idx="283">
                  <c:v>19</c:v>
                </c:pt>
                <c:pt idx="284">
                  <c:v>18</c:v>
                </c:pt>
                <c:pt idx="285">
                  <c:v>19</c:v>
                </c:pt>
                <c:pt idx="286">
                  <c:v>11</c:v>
                </c:pt>
                <c:pt idx="287">
                  <c:v>9</c:v>
                </c:pt>
                <c:pt idx="288">
                  <c:v>9</c:v>
                </c:pt>
                <c:pt idx="289">
                  <c:v>17</c:v>
                </c:pt>
                <c:pt idx="290">
                  <c:v>18</c:v>
                </c:pt>
                <c:pt idx="291">
                  <c:v>9</c:v>
                </c:pt>
                <c:pt idx="292">
                  <c:v>14</c:v>
                </c:pt>
                <c:pt idx="293">
                  <c:v>16</c:v>
                </c:pt>
                <c:pt idx="294">
                  <c:v>15</c:v>
                </c:pt>
                <c:pt idx="295">
                  <c:v>12</c:v>
                </c:pt>
                <c:pt idx="296">
                  <c:v>23</c:v>
                </c:pt>
                <c:pt idx="297">
                  <c:v>13</c:v>
                </c:pt>
                <c:pt idx="298">
                  <c:v>10</c:v>
                </c:pt>
                <c:pt idx="299">
                  <c:v>15</c:v>
                </c:pt>
                <c:pt idx="300">
                  <c:v>15</c:v>
                </c:pt>
                <c:pt idx="301">
                  <c:v>12</c:v>
                </c:pt>
                <c:pt idx="302">
                  <c:v>11</c:v>
                </c:pt>
                <c:pt idx="303">
                  <c:v>22</c:v>
                </c:pt>
                <c:pt idx="304">
                  <c:v>9</c:v>
                </c:pt>
                <c:pt idx="305">
                  <c:v>9</c:v>
                </c:pt>
                <c:pt idx="306">
                  <c:v>31</c:v>
                </c:pt>
                <c:pt idx="307">
                  <c:v>30</c:v>
                </c:pt>
                <c:pt idx="308">
                  <c:v>31</c:v>
                </c:pt>
                <c:pt idx="309">
                  <c:v>23</c:v>
                </c:pt>
                <c:pt idx="310">
                  <c:v>26</c:v>
                </c:pt>
                <c:pt idx="311">
                  <c:v>15</c:v>
                </c:pt>
                <c:pt idx="312">
                  <c:v>12</c:v>
                </c:pt>
                <c:pt idx="313">
                  <c:v>7</c:v>
                </c:pt>
                <c:pt idx="314">
                  <c:v>11</c:v>
                </c:pt>
                <c:pt idx="315">
                  <c:v>5</c:v>
                </c:pt>
                <c:pt idx="316">
                  <c:v>5</c:v>
                </c:pt>
                <c:pt idx="317">
                  <c:v>18</c:v>
                </c:pt>
                <c:pt idx="318">
                  <c:v>12</c:v>
                </c:pt>
                <c:pt idx="319">
                  <c:v>7</c:v>
                </c:pt>
                <c:pt idx="320">
                  <c:v>13</c:v>
                </c:pt>
                <c:pt idx="321">
                  <c:v>14</c:v>
                </c:pt>
                <c:pt idx="322">
                  <c:v>5</c:v>
                </c:pt>
                <c:pt idx="323">
                  <c:v>12</c:v>
                </c:pt>
                <c:pt idx="324">
                  <c:v>10</c:v>
                </c:pt>
                <c:pt idx="325">
                  <c:v>10</c:v>
                </c:pt>
                <c:pt idx="326">
                  <c:v>5</c:v>
                </c:pt>
                <c:pt idx="327">
                  <c:v>13</c:v>
                </c:pt>
                <c:pt idx="328">
                  <c:v>8</c:v>
                </c:pt>
                <c:pt idx="329">
                  <c:v>12</c:v>
                </c:pt>
                <c:pt idx="330">
                  <c:v>13</c:v>
                </c:pt>
                <c:pt idx="331">
                  <c:v>12</c:v>
                </c:pt>
                <c:pt idx="332">
                  <c:v>19</c:v>
                </c:pt>
                <c:pt idx="333">
                  <c:v>8</c:v>
                </c:pt>
                <c:pt idx="334">
                  <c:v>9</c:v>
                </c:pt>
                <c:pt idx="335">
                  <c:v>15</c:v>
                </c:pt>
                <c:pt idx="336">
                  <c:v>7</c:v>
                </c:pt>
                <c:pt idx="337">
                  <c:v>14</c:v>
                </c:pt>
                <c:pt idx="338">
                  <c:v>8</c:v>
                </c:pt>
                <c:pt idx="339">
                  <c:v>6</c:v>
                </c:pt>
                <c:pt idx="340">
                  <c:v>14</c:v>
                </c:pt>
                <c:pt idx="341">
                  <c:v>9</c:v>
                </c:pt>
                <c:pt idx="342">
                  <c:v>7</c:v>
                </c:pt>
                <c:pt idx="343">
                  <c:v>8</c:v>
                </c:pt>
                <c:pt idx="344">
                  <c:v>13</c:v>
                </c:pt>
                <c:pt idx="345">
                  <c:v>9</c:v>
                </c:pt>
                <c:pt idx="346">
                  <c:v>12</c:v>
                </c:pt>
                <c:pt idx="347">
                  <c:v>21</c:v>
                </c:pt>
                <c:pt idx="348">
                  <c:v>8</c:v>
                </c:pt>
                <c:pt idx="349">
                  <c:v>8</c:v>
                </c:pt>
                <c:pt idx="350">
                  <c:v>15</c:v>
                </c:pt>
                <c:pt idx="351">
                  <c:v>8</c:v>
                </c:pt>
                <c:pt idx="352">
                  <c:v>12</c:v>
                </c:pt>
                <c:pt idx="353">
                  <c:v>10</c:v>
                </c:pt>
                <c:pt idx="354">
                  <c:v>15</c:v>
                </c:pt>
                <c:pt idx="355">
                  <c:v>9</c:v>
                </c:pt>
                <c:pt idx="356">
                  <c:v>5</c:v>
                </c:pt>
                <c:pt idx="357">
                  <c:v>8</c:v>
                </c:pt>
                <c:pt idx="358">
                  <c:v>8</c:v>
                </c:pt>
                <c:pt idx="359">
                  <c:v>6</c:v>
                </c:pt>
                <c:pt idx="360">
                  <c:v>6</c:v>
                </c:pt>
                <c:pt idx="361">
                  <c:v>6</c:v>
                </c:pt>
                <c:pt idx="362">
                  <c:v>8</c:v>
                </c:pt>
                <c:pt idx="363">
                  <c:v>12</c:v>
                </c:pt>
                <c:pt idx="364">
                  <c:v>11</c:v>
                </c:pt>
                <c:pt idx="365">
                  <c:v>16</c:v>
                </c:pt>
                <c:pt idx="366">
                  <c:v>9</c:v>
                </c:pt>
                <c:pt idx="367">
                  <c:v>15</c:v>
                </c:pt>
                <c:pt idx="368">
                  <c:v>14</c:v>
                </c:pt>
                <c:pt idx="369">
                  <c:v>8</c:v>
                </c:pt>
                <c:pt idx="370">
                  <c:v>13</c:v>
                </c:pt>
                <c:pt idx="371">
                  <c:v>9</c:v>
                </c:pt>
                <c:pt idx="372">
                  <c:v>16</c:v>
                </c:pt>
                <c:pt idx="373">
                  <c:v>7</c:v>
                </c:pt>
                <c:pt idx="374">
                  <c:v>15</c:v>
                </c:pt>
                <c:pt idx="375">
                  <c:v>14</c:v>
                </c:pt>
                <c:pt idx="376">
                  <c:v>16</c:v>
                </c:pt>
                <c:pt idx="377">
                  <c:v>13</c:v>
                </c:pt>
                <c:pt idx="378">
                  <c:v>19</c:v>
                </c:pt>
                <c:pt idx="379">
                  <c:v>9</c:v>
                </c:pt>
                <c:pt idx="380">
                  <c:v>18</c:v>
                </c:pt>
                <c:pt idx="381">
                  <c:v>10</c:v>
                </c:pt>
                <c:pt idx="382">
                  <c:v>12</c:v>
                </c:pt>
                <c:pt idx="383">
                  <c:v>17</c:v>
                </c:pt>
                <c:pt idx="384">
                  <c:v>8</c:v>
                </c:pt>
                <c:pt idx="385">
                  <c:v>8</c:v>
                </c:pt>
                <c:pt idx="386">
                  <c:v>13</c:v>
                </c:pt>
                <c:pt idx="387">
                  <c:v>13</c:v>
                </c:pt>
                <c:pt idx="388">
                  <c:v>10</c:v>
                </c:pt>
                <c:pt idx="389">
                  <c:v>8</c:v>
                </c:pt>
                <c:pt idx="390">
                  <c:v>10</c:v>
                </c:pt>
                <c:pt idx="391">
                  <c:v>13</c:v>
                </c:pt>
                <c:pt idx="392">
                  <c:v>24</c:v>
                </c:pt>
                <c:pt idx="393">
                  <c:v>23</c:v>
                </c:pt>
                <c:pt idx="394">
                  <c:v>7</c:v>
                </c:pt>
                <c:pt idx="395">
                  <c:v>7</c:v>
                </c:pt>
                <c:pt idx="396">
                  <c:v>15</c:v>
                </c:pt>
                <c:pt idx="397">
                  <c:v>7</c:v>
                </c:pt>
                <c:pt idx="398">
                  <c:v>7</c:v>
                </c:pt>
                <c:pt idx="399">
                  <c:v>11</c:v>
                </c:pt>
                <c:pt idx="400">
                  <c:v>13</c:v>
                </c:pt>
                <c:pt idx="401">
                  <c:v>7</c:v>
                </c:pt>
                <c:pt idx="402">
                  <c:v>12</c:v>
                </c:pt>
                <c:pt idx="403">
                  <c:v>12</c:v>
                </c:pt>
                <c:pt idx="404">
                  <c:v>9</c:v>
                </c:pt>
                <c:pt idx="405">
                  <c:v>13</c:v>
                </c:pt>
                <c:pt idx="406">
                  <c:v>12</c:v>
                </c:pt>
                <c:pt idx="407">
                  <c:v>11</c:v>
                </c:pt>
                <c:pt idx="408">
                  <c:v>9</c:v>
                </c:pt>
                <c:pt idx="409">
                  <c:v>9</c:v>
                </c:pt>
                <c:pt idx="410">
                  <c:v>7</c:v>
                </c:pt>
                <c:pt idx="411">
                  <c:v>13</c:v>
                </c:pt>
                <c:pt idx="412">
                  <c:v>10</c:v>
                </c:pt>
                <c:pt idx="413">
                  <c:v>9</c:v>
                </c:pt>
                <c:pt idx="414">
                  <c:v>13</c:v>
                </c:pt>
                <c:pt idx="415">
                  <c:v>8</c:v>
                </c:pt>
                <c:pt idx="416">
                  <c:v>12</c:v>
                </c:pt>
                <c:pt idx="417">
                  <c:v>6</c:v>
                </c:pt>
                <c:pt idx="418">
                  <c:v>17</c:v>
                </c:pt>
                <c:pt idx="419">
                  <c:v>8</c:v>
                </c:pt>
                <c:pt idx="420">
                  <c:v>9</c:v>
                </c:pt>
                <c:pt idx="421">
                  <c:v>8</c:v>
                </c:pt>
                <c:pt idx="422">
                  <c:v>10</c:v>
                </c:pt>
                <c:pt idx="423">
                  <c:v>18</c:v>
                </c:pt>
                <c:pt idx="424">
                  <c:v>6</c:v>
                </c:pt>
                <c:pt idx="425">
                  <c:v>8</c:v>
                </c:pt>
                <c:pt idx="426">
                  <c:v>12</c:v>
                </c:pt>
                <c:pt idx="427">
                  <c:v>15</c:v>
                </c:pt>
                <c:pt idx="428">
                  <c:v>8</c:v>
                </c:pt>
                <c:pt idx="429">
                  <c:v>23</c:v>
                </c:pt>
                <c:pt idx="430">
                  <c:v>16</c:v>
                </c:pt>
                <c:pt idx="431">
                  <c:v>14</c:v>
                </c:pt>
                <c:pt idx="432">
                  <c:v>13</c:v>
                </c:pt>
                <c:pt idx="433">
                  <c:v>9</c:v>
                </c:pt>
                <c:pt idx="434">
                  <c:v>12</c:v>
                </c:pt>
                <c:pt idx="435">
                  <c:v>10</c:v>
                </c:pt>
                <c:pt idx="436">
                  <c:v>16</c:v>
                </c:pt>
                <c:pt idx="437">
                  <c:v>12</c:v>
                </c:pt>
                <c:pt idx="438">
                  <c:v>9</c:v>
                </c:pt>
                <c:pt idx="439">
                  <c:v>11</c:v>
                </c:pt>
                <c:pt idx="440">
                  <c:v>9</c:v>
                </c:pt>
                <c:pt idx="441">
                  <c:v>12</c:v>
                </c:pt>
                <c:pt idx="442">
                  <c:v>9</c:v>
                </c:pt>
                <c:pt idx="443">
                  <c:v>6</c:v>
                </c:pt>
                <c:pt idx="444">
                  <c:v>8</c:v>
                </c:pt>
                <c:pt idx="445">
                  <c:v>7</c:v>
                </c:pt>
                <c:pt idx="446">
                  <c:v>7</c:v>
                </c:pt>
                <c:pt idx="447">
                  <c:v>8</c:v>
                </c:pt>
                <c:pt idx="448">
                  <c:v>18</c:v>
                </c:pt>
                <c:pt idx="449">
                  <c:v>8</c:v>
                </c:pt>
                <c:pt idx="450">
                  <c:v>8</c:v>
                </c:pt>
                <c:pt idx="451">
                  <c:v>8</c:v>
                </c:pt>
                <c:pt idx="452">
                  <c:v>11</c:v>
                </c:pt>
                <c:pt idx="453">
                  <c:v>9</c:v>
                </c:pt>
                <c:pt idx="454">
                  <c:v>13</c:v>
                </c:pt>
                <c:pt idx="455">
                  <c:v>12</c:v>
                </c:pt>
                <c:pt idx="456">
                  <c:v>14</c:v>
                </c:pt>
                <c:pt idx="457">
                  <c:v>6</c:v>
                </c:pt>
                <c:pt idx="458">
                  <c:v>6</c:v>
                </c:pt>
                <c:pt idx="459">
                  <c:v>10</c:v>
                </c:pt>
                <c:pt idx="460">
                  <c:v>7</c:v>
                </c:pt>
                <c:pt idx="461">
                  <c:v>14</c:v>
                </c:pt>
                <c:pt idx="462">
                  <c:v>8</c:v>
                </c:pt>
                <c:pt idx="463">
                  <c:v>9</c:v>
                </c:pt>
                <c:pt idx="464">
                  <c:v>12</c:v>
                </c:pt>
                <c:pt idx="465">
                  <c:v>11</c:v>
                </c:pt>
                <c:pt idx="466">
                  <c:v>7</c:v>
                </c:pt>
                <c:pt idx="467">
                  <c:v>8</c:v>
                </c:pt>
                <c:pt idx="468">
                  <c:v>8</c:v>
                </c:pt>
                <c:pt idx="469">
                  <c:v>5</c:v>
                </c:pt>
                <c:pt idx="470">
                  <c:v>8</c:v>
                </c:pt>
                <c:pt idx="471">
                  <c:v>13</c:v>
                </c:pt>
                <c:pt idx="472">
                  <c:v>8</c:v>
                </c:pt>
                <c:pt idx="473">
                  <c:v>8</c:v>
                </c:pt>
                <c:pt idx="474">
                  <c:v>7</c:v>
                </c:pt>
                <c:pt idx="475">
                  <c:v>5</c:v>
                </c:pt>
                <c:pt idx="476">
                  <c:v>8</c:v>
                </c:pt>
                <c:pt idx="477">
                  <c:v>8</c:v>
                </c:pt>
                <c:pt idx="478">
                  <c:v>8</c:v>
                </c:pt>
                <c:pt idx="479">
                  <c:v>8</c:v>
                </c:pt>
                <c:pt idx="480">
                  <c:v>8</c:v>
                </c:pt>
                <c:pt idx="481">
                  <c:v>9</c:v>
                </c:pt>
                <c:pt idx="482">
                  <c:v>8</c:v>
                </c:pt>
                <c:pt idx="483">
                  <c:v>9</c:v>
                </c:pt>
                <c:pt idx="484">
                  <c:v>6</c:v>
                </c:pt>
                <c:pt idx="485">
                  <c:v>5</c:v>
                </c:pt>
                <c:pt idx="486">
                  <c:v>8</c:v>
                </c:pt>
                <c:pt idx="487">
                  <c:v>9</c:v>
                </c:pt>
                <c:pt idx="488">
                  <c:v>13</c:v>
                </c:pt>
                <c:pt idx="489">
                  <c:v>14</c:v>
                </c:pt>
                <c:pt idx="490">
                  <c:v>7</c:v>
                </c:pt>
                <c:pt idx="491">
                  <c:v>8</c:v>
                </c:pt>
                <c:pt idx="492">
                  <c:v>8</c:v>
                </c:pt>
                <c:pt idx="493">
                  <c:v>18</c:v>
                </c:pt>
                <c:pt idx="494">
                  <c:v>7</c:v>
                </c:pt>
                <c:pt idx="495">
                  <c:v>15</c:v>
                </c:pt>
                <c:pt idx="496">
                  <c:v>12</c:v>
                </c:pt>
                <c:pt idx="497">
                  <c:v>12</c:v>
                </c:pt>
                <c:pt idx="498">
                  <c:v>13</c:v>
                </c:pt>
                <c:pt idx="499">
                  <c:v>6</c:v>
                </c:pt>
                <c:pt idx="500">
                  <c:v>7</c:v>
                </c:pt>
                <c:pt idx="501">
                  <c:v>7</c:v>
                </c:pt>
                <c:pt idx="502">
                  <c:v>9</c:v>
                </c:pt>
                <c:pt idx="503">
                  <c:v>8</c:v>
                </c:pt>
                <c:pt idx="504">
                  <c:v>17</c:v>
                </c:pt>
                <c:pt idx="505">
                  <c:v>6</c:v>
                </c:pt>
                <c:pt idx="506">
                  <c:v>13</c:v>
                </c:pt>
                <c:pt idx="507">
                  <c:v>7</c:v>
                </c:pt>
                <c:pt idx="508">
                  <c:v>7</c:v>
                </c:pt>
                <c:pt idx="509">
                  <c:v>14</c:v>
                </c:pt>
                <c:pt idx="510">
                  <c:v>11</c:v>
                </c:pt>
                <c:pt idx="511">
                  <c:v>8</c:v>
                </c:pt>
                <c:pt idx="512">
                  <c:v>15</c:v>
                </c:pt>
                <c:pt idx="513">
                  <c:v>6</c:v>
                </c:pt>
                <c:pt idx="514">
                  <c:v>15</c:v>
                </c:pt>
                <c:pt idx="515">
                  <c:v>7</c:v>
                </c:pt>
                <c:pt idx="516">
                  <c:v>9</c:v>
                </c:pt>
                <c:pt idx="517">
                  <c:v>16</c:v>
                </c:pt>
                <c:pt idx="518">
                  <c:v>8</c:v>
                </c:pt>
                <c:pt idx="519">
                  <c:v>6</c:v>
                </c:pt>
                <c:pt idx="520">
                  <c:v>7</c:v>
                </c:pt>
                <c:pt idx="521">
                  <c:v>11</c:v>
                </c:pt>
                <c:pt idx="522">
                  <c:v>9</c:v>
                </c:pt>
                <c:pt idx="523">
                  <c:v>16</c:v>
                </c:pt>
                <c:pt idx="524">
                  <c:v>18</c:v>
                </c:pt>
                <c:pt idx="525">
                  <c:v>10</c:v>
                </c:pt>
                <c:pt idx="526">
                  <c:v>9</c:v>
                </c:pt>
                <c:pt idx="527">
                  <c:v>10</c:v>
                </c:pt>
                <c:pt idx="528">
                  <c:v>12</c:v>
                </c:pt>
                <c:pt idx="529">
                  <c:v>6</c:v>
                </c:pt>
              </c:numCache>
            </c:numRef>
          </c:xVal>
          <c:yVal>
            <c:numRef>
              <c:f>'#of logs'!$D$7:$D$536</c:f>
              <c:numCache>
                <c:formatCode>_(* #,##0_);_(* \(#,##0\);_(* "-"??_);_(@_)</c:formatCode>
                <c:ptCount val="53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  <c:pt idx="52">
                  <c:v>2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2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2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2</c:v>
                </c:pt>
                <c:pt idx="88">
                  <c:v>1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1</c:v>
                </c:pt>
                <c:pt idx="104">
                  <c:v>1</c:v>
                </c:pt>
                <c:pt idx="105">
                  <c:v>2</c:v>
                </c:pt>
                <c:pt idx="106">
                  <c:v>1</c:v>
                </c:pt>
                <c:pt idx="107">
                  <c:v>2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2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2</c:v>
                </c:pt>
                <c:pt idx="123">
                  <c:v>2</c:v>
                </c:pt>
                <c:pt idx="124">
                  <c:v>1</c:v>
                </c:pt>
                <c:pt idx="125">
                  <c:v>1</c:v>
                </c:pt>
                <c:pt idx="126">
                  <c:v>2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1</c:v>
                </c:pt>
                <c:pt idx="134">
                  <c:v>1</c:v>
                </c:pt>
                <c:pt idx="135">
                  <c:v>3</c:v>
                </c:pt>
                <c:pt idx="136">
                  <c:v>1</c:v>
                </c:pt>
                <c:pt idx="137">
                  <c:v>1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1</c:v>
                </c:pt>
                <c:pt idx="142">
                  <c:v>2</c:v>
                </c:pt>
                <c:pt idx="143">
                  <c:v>2</c:v>
                </c:pt>
                <c:pt idx="144">
                  <c:v>1</c:v>
                </c:pt>
                <c:pt idx="145">
                  <c:v>1</c:v>
                </c:pt>
                <c:pt idx="146">
                  <c:v>2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2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2</c:v>
                </c:pt>
                <c:pt idx="159">
                  <c:v>1</c:v>
                </c:pt>
                <c:pt idx="160">
                  <c:v>2</c:v>
                </c:pt>
                <c:pt idx="161">
                  <c:v>1</c:v>
                </c:pt>
                <c:pt idx="162">
                  <c:v>2</c:v>
                </c:pt>
                <c:pt idx="163">
                  <c:v>1</c:v>
                </c:pt>
                <c:pt idx="164">
                  <c:v>1</c:v>
                </c:pt>
                <c:pt idx="165">
                  <c:v>2</c:v>
                </c:pt>
                <c:pt idx="166">
                  <c:v>1</c:v>
                </c:pt>
                <c:pt idx="167">
                  <c:v>1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2</c:v>
                </c:pt>
                <c:pt idx="179">
                  <c:v>1</c:v>
                </c:pt>
                <c:pt idx="180">
                  <c:v>1</c:v>
                </c:pt>
                <c:pt idx="181">
                  <c:v>2</c:v>
                </c:pt>
                <c:pt idx="182">
                  <c:v>1</c:v>
                </c:pt>
                <c:pt idx="183">
                  <c:v>1</c:v>
                </c:pt>
                <c:pt idx="184">
                  <c:v>2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2</c:v>
                </c:pt>
                <c:pt idx="190">
                  <c:v>1</c:v>
                </c:pt>
                <c:pt idx="191">
                  <c:v>2</c:v>
                </c:pt>
                <c:pt idx="192">
                  <c:v>1</c:v>
                </c:pt>
                <c:pt idx="193">
                  <c:v>2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2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2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2</c:v>
                </c:pt>
                <c:pt idx="223">
                  <c:v>1</c:v>
                </c:pt>
                <c:pt idx="224">
                  <c:v>2</c:v>
                </c:pt>
                <c:pt idx="225">
                  <c:v>1</c:v>
                </c:pt>
                <c:pt idx="226">
                  <c:v>2</c:v>
                </c:pt>
                <c:pt idx="227">
                  <c:v>1</c:v>
                </c:pt>
                <c:pt idx="228">
                  <c:v>1</c:v>
                </c:pt>
                <c:pt idx="229">
                  <c:v>3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2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2</c:v>
                </c:pt>
                <c:pt idx="242">
                  <c:v>1</c:v>
                </c:pt>
                <c:pt idx="243">
                  <c:v>2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2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2</c:v>
                </c:pt>
                <c:pt idx="256">
                  <c:v>1</c:v>
                </c:pt>
                <c:pt idx="257">
                  <c:v>1</c:v>
                </c:pt>
                <c:pt idx="258">
                  <c:v>2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1</c:v>
                </c:pt>
                <c:pt idx="266">
                  <c:v>2</c:v>
                </c:pt>
                <c:pt idx="267">
                  <c:v>1</c:v>
                </c:pt>
                <c:pt idx="268">
                  <c:v>3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2</c:v>
                </c:pt>
                <c:pt idx="278">
                  <c:v>2</c:v>
                </c:pt>
                <c:pt idx="279">
                  <c:v>1</c:v>
                </c:pt>
                <c:pt idx="280">
                  <c:v>2</c:v>
                </c:pt>
                <c:pt idx="281">
                  <c:v>1</c:v>
                </c:pt>
                <c:pt idx="282">
                  <c:v>1</c:v>
                </c:pt>
                <c:pt idx="283">
                  <c:v>2</c:v>
                </c:pt>
                <c:pt idx="284">
                  <c:v>2</c:v>
                </c:pt>
                <c:pt idx="285">
                  <c:v>2</c:v>
                </c:pt>
                <c:pt idx="286">
                  <c:v>1</c:v>
                </c:pt>
                <c:pt idx="287">
                  <c:v>2</c:v>
                </c:pt>
                <c:pt idx="288">
                  <c:v>1</c:v>
                </c:pt>
                <c:pt idx="289">
                  <c:v>2</c:v>
                </c:pt>
                <c:pt idx="290">
                  <c:v>2</c:v>
                </c:pt>
                <c:pt idx="291">
                  <c:v>2</c:v>
                </c:pt>
                <c:pt idx="292">
                  <c:v>2</c:v>
                </c:pt>
                <c:pt idx="293">
                  <c:v>2</c:v>
                </c:pt>
                <c:pt idx="294">
                  <c:v>1</c:v>
                </c:pt>
                <c:pt idx="295">
                  <c:v>1</c:v>
                </c:pt>
                <c:pt idx="296">
                  <c:v>2</c:v>
                </c:pt>
                <c:pt idx="297">
                  <c:v>1</c:v>
                </c:pt>
                <c:pt idx="298">
                  <c:v>2</c:v>
                </c:pt>
                <c:pt idx="299">
                  <c:v>2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2</c:v>
                </c:pt>
                <c:pt idx="306">
                  <c:v>3</c:v>
                </c:pt>
                <c:pt idx="307">
                  <c:v>3</c:v>
                </c:pt>
                <c:pt idx="308">
                  <c:v>2</c:v>
                </c:pt>
                <c:pt idx="309">
                  <c:v>2</c:v>
                </c:pt>
                <c:pt idx="310">
                  <c:v>3</c:v>
                </c:pt>
                <c:pt idx="311">
                  <c:v>2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2</c:v>
                </c:pt>
                <c:pt idx="321">
                  <c:v>2</c:v>
                </c:pt>
                <c:pt idx="322">
                  <c:v>1</c:v>
                </c:pt>
                <c:pt idx="323">
                  <c:v>2</c:v>
                </c:pt>
                <c:pt idx="324">
                  <c:v>1</c:v>
                </c:pt>
                <c:pt idx="325">
                  <c:v>2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2</c:v>
                </c:pt>
                <c:pt idx="333">
                  <c:v>1</c:v>
                </c:pt>
                <c:pt idx="334">
                  <c:v>1</c:v>
                </c:pt>
                <c:pt idx="335">
                  <c:v>2</c:v>
                </c:pt>
                <c:pt idx="336">
                  <c:v>1</c:v>
                </c:pt>
                <c:pt idx="337">
                  <c:v>2</c:v>
                </c:pt>
                <c:pt idx="338">
                  <c:v>1</c:v>
                </c:pt>
                <c:pt idx="339">
                  <c:v>1</c:v>
                </c:pt>
                <c:pt idx="340">
                  <c:v>2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2</c:v>
                </c:pt>
                <c:pt idx="345">
                  <c:v>1</c:v>
                </c:pt>
                <c:pt idx="346">
                  <c:v>1</c:v>
                </c:pt>
                <c:pt idx="347">
                  <c:v>2</c:v>
                </c:pt>
                <c:pt idx="348">
                  <c:v>1</c:v>
                </c:pt>
                <c:pt idx="349">
                  <c:v>1</c:v>
                </c:pt>
                <c:pt idx="350">
                  <c:v>2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2</c:v>
                </c:pt>
                <c:pt idx="355">
                  <c:v>2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2</c:v>
                </c:pt>
                <c:pt idx="364">
                  <c:v>2</c:v>
                </c:pt>
                <c:pt idx="365">
                  <c:v>2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2</c:v>
                </c:pt>
                <c:pt idx="371">
                  <c:v>1</c:v>
                </c:pt>
                <c:pt idx="372">
                  <c:v>2</c:v>
                </c:pt>
                <c:pt idx="373">
                  <c:v>1</c:v>
                </c:pt>
                <c:pt idx="374">
                  <c:v>2</c:v>
                </c:pt>
                <c:pt idx="375">
                  <c:v>2</c:v>
                </c:pt>
                <c:pt idx="376">
                  <c:v>2</c:v>
                </c:pt>
                <c:pt idx="377">
                  <c:v>2</c:v>
                </c:pt>
                <c:pt idx="378">
                  <c:v>3</c:v>
                </c:pt>
                <c:pt idx="379">
                  <c:v>1</c:v>
                </c:pt>
                <c:pt idx="380">
                  <c:v>2</c:v>
                </c:pt>
                <c:pt idx="381">
                  <c:v>1</c:v>
                </c:pt>
                <c:pt idx="382">
                  <c:v>1</c:v>
                </c:pt>
                <c:pt idx="383">
                  <c:v>2</c:v>
                </c:pt>
                <c:pt idx="384">
                  <c:v>1</c:v>
                </c:pt>
                <c:pt idx="385">
                  <c:v>1</c:v>
                </c:pt>
                <c:pt idx="386">
                  <c:v>2</c:v>
                </c:pt>
                <c:pt idx="387">
                  <c:v>2</c:v>
                </c:pt>
                <c:pt idx="388">
                  <c:v>2</c:v>
                </c:pt>
                <c:pt idx="389">
                  <c:v>1</c:v>
                </c:pt>
                <c:pt idx="390">
                  <c:v>2</c:v>
                </c:pt>
                <c:pt idx="391">
                  <c:v>2</c:v>
                </c:pt>
                <c:pt idx="392">
                  <c:v>2</c:v>
                </c:pt>
                <c:pt idx="393">
                  <c:v>3</c:v>
                </c:pt>
                <c:pt idx="394">
                  <c:v>1</c:v>
                </c:pt>
                <c:pt idx="395">
                  <c:v>1</c:v>
                </c:pt>
                <c:pt idx="396">
                  <c:v>2</c:v>
                </c:pt>
                <c:pt idx="397">
                  <c:v>1</c:v>
                </c:pt>
                <c:pt idx="398">
                  <c:v>1</c:v>
                </c:pt>
                <c:pt idx="399">
                  <c:v>2</c:v>
                </c:pt>
                <c:pt idx="400">
                  <c:v>2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2</c:v>
                </c:pt>
                <c:pt idx="406">
                  <c:v>2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2</c:v>
                </c:pt>
                <c:pt idx="412">
                  <c:v>1</c:v>
                </c:pt>
                <c:pt idx="413">
                  <c:v>1</c:v>
                </c:pt>
                <c:pt idx="414">
                  <c:v>2</c:v>
                </c:pt>
                <c:pt idx="415">
                  <c:v>1</c:v>
                </c:pt>
                <c:pt idx="416">
                  <c:v>2</c:v>
                </c:pt>
                <c:pt idx="417">
                  <c:v>1</c:v>
                </c:pt>
                <c:pt idx="418">
                  <c:v>2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3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2</c:v>
                </c:pt>
                <c:pt idx="428">
                  <c:v>1</c:v>
                </c:pt>
                <c:pt idx="429">
                  <c:v>2</c:v>
                </c:pt>
                <c:pt idx="430">
                  <c:v>2</c:v>
                </c:pt>
                <c:pt idx="431">
                  <c:v>2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2</c:v>
                </c:pt>
                <c:pt idx="436">
                  <c:v>2</c:v>
                </c:pt>
                <c:pt idx="437">
                  <c:v>1</c:v>
                </c:pt>
                <c:pt idx="438">
                  <c:v>1</c:v>
                </c:pt>
                <c:pt idx="439">
                  <c:v>2</c:v>
                </c:pt>
                <c:pt idx="440">
                  <c:v>1</c:v>
                </c:pt>
                <c:pt idx="441">
                  <c:v>2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2</c:v>
                </c:pt>
                <c:pt idx="455">
                  <c:v>1</c:v>
                </c:pt>
                <c:pt idx="456">
                  <c:v>2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2</c:v>
                </c:pt>
                <c:pt idx="462">
                  <c:v>1</c:v>
                </c:pt>
                <c:pt idx="463">
                  <c:v>1</c:v>
                </c:pt>
                <c:pt idx="464">
                  <c:v>2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2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2</c:v>
                </c:pt>
                <c:pt idx="489">
                  <c:v>2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2</c:v>
                </c:pt>
                <c:pt idx="494">
                  <c:v>1</c:v>
                </c:pt>
                <c:pt idx="495">
                  <c:v>2</c:v>
                </c:pt>
                <c:pt idx="496">
                  <c:v>1</c:v>
                </c:pt>
                <c:pt idx="497">
                  <c:v>2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2</c:v>
                </c:pt>
                <c:pt idx="505">
                  <c:v>1</c:v>
                </c:pt>
                <c:pt idx="506">
                  <c:v>2</c:v>
                </c:pt>
                <c:pt idx="507">
                  <c:v>1</c:v>
                </c:pt>
                <c:pt idx="508">
                  <c:v>1</c:v>
                </c:pt>
                <c:pt idx="509">
                  <c:v>2</c:v>
                </c:pt>
                <c:pt idx="510">
                  <c:v>2</c:v>
                </c:pt>
                <c:pt idx="511">
                  <c:v>1</c:v>
                </c:pt>
                <c:pt idx="512">
                  <c:v>2</c:v>
                </c:pt>
                <c:pt idx="513">
                  <c:v>1</c:v>
                </c:pt>
                <c:pt idx="514">
                  <c:v>2</c:v>
                </c:pt>
                <c:pt idx="515">
                  <c:v>1</c:v>
                </c:pt>
                <c:pt idx="516">
                  <c:v>2</c:v>
                </c:pt>
                <c:pt idx="517">
                  <c:v>3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2</c:v>
                </c:pt>
                <c:pt idx="522">
                  <c:v>1</c:v>
                </c:pt>
                <c:pt idx="523">
                  <c:v>2</c:v>
                </c:pt>
                <c:pt idx="524">
                  <c:v>2</c:v>
                </c:pt>
                <c:pt idx="525">
                  <c:v>2</c:v>
                </c:pt>
                <c:pt idx="526">
                  <c:v>1</c:v>
                </c:pt>
                <c:pt idx="527">
                  <c:v>1</c:v>
                </c:pt>
                <c:pt idx="528">
                  <c:v>2</c:v>
                </c:pt>
                <c:pt idx="529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84-4BED-9C2E-7A5BBD6D3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1752560"/>
        <c:axId val="1105304256"/>
      </c:scatterChart>
      <c:valAx>
        <c:axId val="1101752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5304256"/>
        <c:crosses val="autoZero"/>
        <c:crossBetween val="midCat"/>
      </c:valAx>
      <c:valAx>
        <c:axId val="1105304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1752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'#of logs'!$G$7:$G$1143</c:f>
              <c:numCache>
                <c:formatCode>_(* #,##0_);_(* \(#,##0\);_(* "-"??_);_(@_)</c:formatCode>
                <c:ptCount val="1137"/>
                <c:pt idx="0">
                  <c:v>11</c:v>
                </c:pt>
                <c:pt idx="1">
                  <c:v>13</c:v>
                </c:pt>
                <c:pt idx="2">
                  <c:v>10</c:v>
                </c:pt>
                <c:pt idx="3">
                  <c:v>7</c:v>
                </c:pt>
                <c:pt idx="4">
                  <c:v>13</c:v>
                </c:pt>
                <c:pt idx="5">
                  <c:v>6</c:v>
                </c:pt>
                <c:pt idx="6">
                  <c:v>10</c:v>
                </c:pt>
                <c:pt idx="7">
                  <c:v>9</c:v>
                </c:pt>
                <c:pt idx="8">
                  <c:v>12</c:v>
                </c:pt>
                <c:pt idx="9">
                  <c:v>12</c:v>
                </c:pt>
                <c:pt idx="10">
                  <c:v>13</c:v>
                </c:pt>
                <c:pt idx="11">
                  <c:v>7</c:v>
                </c:pt>
                <c:pt idx="12">
                  <c:v>8</c:v>
                </c:pt>
                <c:pt idx="13">
                  <c:v>16</c:v>
                </c:pt>
                <c:pt idx="14">
                  <c:v>10</c:v>
                </c:pt>
                <c:pt idx="15">
                  <c:v>8</c:v>
                </c:pt>
                <c:pt idx="16">
                  <c:v>13</c:v>
                </c:pt>
                <c:pt idx="17">
                  <c:v>10</c:v>
                </c:pt>
                <c:pt idx="18">
                  <c:v>11</c:v>
                </c:pt>
                <c:pt idx="19">
                  <c:v>6</c:v>
                </c:pt>
                <c:pt idx="20">
                  <c:v>15</c:v>
                </c:pt>
                <c:pt idx="21">
                  <c:v>11</c:v>
                </c:pt>
                <c:pt idx="22">
                  <c:v>5</c:v>
                </c:pt>
                <c:pt idx="23">
                  <c:v>10</c:v>
                </c:pt>
                <c:pt idx="24">
                  <c:v>14</c:v>
                </c:pt>
                <c:pt idx="25">
                  <c:v>10</c:v>
                </c:pt>
                <c:pt idx="26">
                  <c:v>11</c:v>
                </c:pt>
                <c:pt idx="27">
                  <c:v>7</c:v>
                </c:pt>
                <c:pt idx="28">
                  <c:v>9</c:v>
                </c:pt>
                <c:pt idx="29">
                  <c:v>7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10</c:v>
                </c:pt>
                <c:pt idx="34">
                  <c:v>7</c:v>
                </c:pt>
                <c:pt idx="35">
                  <c:v>15</c:v>
                </c:pt>
                <c:pt idx="36">
                  <c:v>6</c:v>
                </c:pt>
                <c:pt idx="37">
                  <c:v>12</c:v>
                </c:pt>
                <c:pt idx="38">
                  <c:v>14</c:v>
                </c:pt>
                <c:pt idx="39">
                  <c:v>13</c:v>
                </c:pt>
                <c:pt idx="40">
                  <c:v>18</c:v>
                </c:pt>
                <c:pt idx="41">
                  <c:v>16</c:v>
                </c:pt>
                <c:pt idx="42">
                  <c:v>13</c:v>
                </c:pt>
                <c:pt idx="43">
                  <c:v>11</c:v>
                </c:pt>
                <c:pt idx="44">
                  <c:v>6</c:v>
                </c:pt>
                <c:pt idx="45">
                  <c:v>8</c:v>
                </c:pt>
                <c:pt idx="46">
                  <c:v>6</c:v>
                </c:pt>
                <c:pt idx="47">
                  <c:v>7</c:v>
                </c:pt>
                <c:pt idx="48">
                  <c:v>7</c:v>
                </c:pt>
                <c:pt idx="49">
                  <c:v>8</c:v>
                </c:pt>
                <c:pt idx="50">
                  <c:v>7</c:v>
                </c:pt>
                <c:pt idx="51">
                  <c:v>16</c:v>
                </c:pt>
                <c:pt idx="52">
                  <c:v>18</c:v>
                </c:pt>
                <c:pt idx="53">
                  <c:v>12</c:v>
                </c:pt>
                <c:pt idx="54">
                  <c:v>11</c:v>
                </c:pt>
                <c:pt idx="55">
                  <c:v>6</c:v>
                </c:pt>
                <c:pt idx="56">
                  <c:v>7</c:v>
                </c:pt>
                <c:pt idx="57">
                  <c:v>7</c:v>
                </c:pt>
                <c:pt idx="58">
                  <c:v>7</c:v>
                </c:pt>
                <c:pt idx="59">
                  <c:v>7</c:v>
                </c:pt>
                <c:pt idx="60">
                  <c:v>7</c:v>
                </c:pt>
                <c:pt idx="61">
                  <c:v>8</c:v>
                </c:pt>
                <c:pt idx="62">
                  <c:v>7</c:v>
                </c:pt>
                <c:pt idx="63">
                  <c:v>10</c:v>
                </c:pt>
                <c:pt idx="64">
                  <c:v>6</c:v>
                </c:pt>
                <c:pt idx="65">
                  <c:v>6</c:v>
                </c:pt>
                <c:pt idx="66">
                  <c:v>12</c:v>
                </c:pt>
                <c:pt idx="67">
                  <c:v>6</c:v>
                </c:pt>
                <c:pt idx="68">
                  <c:v>10</c:v>
                </c:pt>
                <c:pt idx="69">
                  <c:v>11.08</c:v>
                </c:pt>
                <c:pt idx="70">
                  <c:v>8</c:v>
                </c:pt>
                <c:pt idx="71">
                  <c:v>11</c:v>
                </c:pt>
                <c:pt idx="72">
                  <c:v>7</c:v>
                </c:pt>
                <c:pt idx="73">
                  <c:v>14</c:v>
                </c:pt>
                <c:pt idx="74">
                  <c:v>11</c:v>
                </c:pt>
                <c:pt idx="75">
                  <c:v>11</c:v>
                </c:pt>
                <c:pt idx="76">
                  <c:v>14</c:v>
                </c:pt>
                <c:pt idx="77">
                  <c:v>6</c:v>
                </c:pt>
                <c:pt idx="78">
                  <c:v>13</c:v>
                </c:pt>
                <c:pt idx="79">
                  <c:v>7</c:v>
                </c:pt>
                <c:pt idx="80">
                  <c:v>11</c:v>
                </c:pt>
                <c:pt idx="81">
                  <c:v>13</c:v>
                </c:pt>
                <c:pt idx="82">
                  <c:v>12</c:v>
                </c:pt>
                <c:pt idx="83">
                  <c:v>11</c:v>
                </c:pt>
                <c:pt idx="84">
                  <c:v>8</c:v>
                </c:pt>
                <c:pt idx="85">
                  <c:v>10</c:v>
                </c:pt>
                <c:pt idx="86">
                  <c:v>11</c:v>
                </c:pt>
                <c:pt idx="87">
                  <c:v>7</c:v>
                </c:pt>
                <c:pt idx="88">
                  <c:v>6</c:v>
                </c:pt>
                <c:pt idx="89">
                  <c:v>10</c:v>
                </c:pt>
                <c:pt idx="90">
                  <c:v>5</c:v>
                </c:pt>
                <c:pt idx="91">
                  <c:v>8</c:v>
                </c:pt>
                <c:pt idx="92">
                  <c:v>11</c:v>
                </c:pt>
                <c:pt idx="93">
                  <c:v>6</c:v>
                </c:pt>
                <c:pt idx="94">
                  <c:v>6</c:v>
                </c:pt>
                <c:pt idx="95">
                  <c:v>12</c:v>
                </c:pt>
                <c:pt idx="96">
                  <c:v>6</c:v>
                </c:pt>
                <c:pt idx="97">
                  <c:v>6</c:v>
                </c:pt>
                <c:pt idx="98">
                  <c:v>6</c:v>
                </c:pt>
                <c:pt idx="99">
                  <c:v>8</c:v>
                </c:pt>
                <c:pt idx="100">
                  <c:v>10</c:v>
                </c:pt>
                <c:pt idx="101">
                  <c:v>6</c:v>
                </c:pt>
                <c:pt idx="102">
                  <c:v>8</c:v>
                </c:pt>
                <c:pt idx="103">
                  <c:v>6</c:v>
                </c:pt>
                <c:pt idx="104">
                  <c:v>15</c:v>
                </c:pt>
                <c:pt idx="105">
                  <c:v>6</c:v>
                </c:pt>
                <c:pt idx="106">
                  <c:v>17</c:v>
                </c:pt>
                <c:pt idx="107">
                  <c:v>12</c:v>
                </c:pt>
                <c:pt idx="108">
                  <c:v>11</c:v>
                </c:pt>
                <c:pt idx="109">
                  <c:v>18</c:v>
                </c:pt>
                <c:pt idx="110">
                  <c:v>11</c:v>
                </c:pt>
                <c:pt idx="111">
                  <c:v>11</c:v>
                </c:pt>
                <c:pt idx="112">
                  <c:v>12</c:v>
                </c:pt>
                <c:pt idx="113">
                  <c:v>6</c:v>
                </c:pt>
                <c:pt idx="114">
                  <c:v>5</c:v>
                </c:pt>
                <c:pt idx="115">
                  <c:v>10</c:v>
                </c:pt>
                <c:pt idx="116">
                  <c:v>10</c:v>
                </c:pt>
                <c:pt idx="117">
                  <c:v>6</c:v>
                </c:pt>
                <c:pt idx="118">
                  <c:v>6</c:v>
                </c:pt>
                <c:pt idx="119">
                  <c:v>11</c:v>
                </c:pt>
                <c:pt idx="120">
                  <c:v>13</c:v>
                </c:pt>
                <c:pt idx="121">
                  <c:v>10</c:v>
                </c:pt>
                <c:pt idx="122">
                  <c:v>12</c:v>
                </c:pt>
                <c:pt idx="123">
                  <c:v>12</c:v>
                </c:pt>
                <c:pt idx="124">
                  <c:v>10</c:v>
                </c:pt>
                <c:pt idx="125">
                  <c:v>11</c:v>
                </c:pt>
                <c:pt idx="126">
                  <c:v>8</c:v>
                </c:pt>
                <c:pt idx="127">
                  <c:v>18</c:v>
                </c:pt>
                <c:pt idx="128">
                  <c:v>12</c:v>
                </c:pt>
                <c:pt idx="129">
                  <c:v>6</c:v>
                </c:pt>
                <c:pt idx="130">
                  <c:v>14</c:v>
                </c:pt>
                <c:pt idx="131">
                  <c:v>6</c:v>
                </c:pt>
                <c:pt idx="132">
                  <c:v>13</c:v>
                </c:pt>
                <c:pt idx="133">
                  <c:v>16</c:v>
                </c:pt>
                <c:pt idx="134">
                  <c:v>10</c:v>
                </c:pt>
                <c:pt idx="135">
                  <c:v>11</c:v>
                </c:pt>
                <c:pt idx="136">
                  <c:v>18</c:v>
                </c:pt>
                <c:pt idx="137">
                  <c:v>14</c:v>
                </c:pt>
                <c:pt idx="138">
                  <c:v>6</c:v>
                </c:pt>
                <c:pt idx="139">
                  <c:v>5</c:v>
                </c:pt>
                <c:pt idx="140">
                  <c:v>6</c:v>
                </c:pt>
                <c:pt idx="141">
                  <c:v>7</c:v>
                </c:pt>
                <c:pt idx="142">
                  <c:v>6</c:v>
                </c:pt>
                <c:pt idx="143">
                  <c:v>17</c:v>
                </c:pt>
                <c:pt idx="144">
                  <c:v>7</c:v>
                </c:pt>
                <c:pt idx="145">
                  <c:v>11</c:v>
                </c:pt>
                <c:pt idx="146">
                  <c:v>8</c:v>
                </c:pt>
                <c:pt idx="147">
                  <c:v>10</c:v>
                </c:pt>
                <c:pt idx="148">
                  <c:v>12</c:v>
                </c:pt>
                <c:pt idx="149">
                  <c:v>5</c:v>
                </c:pt>
                <c:pt idx="150">
                  <c:v>13</c:v>
                </c:pt>
                <c:pt idx="151">
                  <c:v>6</c:v>
                </c:pt>
                <c:pt idx="152">
                  <c:v>12</c:v>
                </c:pt>
                <c:pt idx="153">
                  <c:v>8</c:v>
                </c:pt>
                <c:pt idx="154">
                  <c:v>13</c:v>
                </c:pt>
                <c:pt idx="155">
                  <c:v>12</c:v>
                </c:pt>
                <c:pt idx="156">
                  <c:v>5</c:v>
                </c:pt>
                <c:pt idx="157">
                  <c:v>5</c:v>
                </c:pt>
                <c:pt idx="158">
                  <c:v>11</c:v>
                </c:pt>
                <c:pt idx="159">
                  <c:v>10</c:v>
                </c:pt>
                <c:pt idx="160">
                  <c:v>5</c:v>
                </c:pt>
                <c:pt idx="161">
                  <c:v>7</c:v>
                </c:pt>
                <c:pt idx="162">
                  <c:v>5</c:v>
                </c:pt>
                <c:pt idx="163">
                  <c:v>12</c:v>
                </c:pt>
                <c:pt idx="164">
                  <c:v>12</c:v>
                </c:pt>
                <c:pt idx="165">
                  <c:v>5</c:v>
                </c:pt>
                <c:pt idx="166">
                  <c:v>5</c:v>
                </c:pt>
                <c:pt idx="167">
                  <c:v>5</c:v>
                </c:pt>
                <c:pt idx="168">
                  <c:v>5</c:v>
                </c:pt>
                <c:pt idx="169">
                  <c:v>10</c:v>
                </c:pt>
                <c:pt idx="170">
                  <c:v>6</c:v>
                </c:pt>
                <c:pt idx="171">
                  <c:v>11</c:v>
                </c:pt>
                <c:pt idx="172">
                  <c:v>11</c:v>
                </c:pt>
                <c:pt idx="173">
                  <c:v>10</c:v>
                </c:pt>
                <c:pt idx="174">
                  <c:v>11</c:v>
                </c:pt>
                <c:pt idx="175">
                  <c:v>8</c:v>
                </c:pt>
                <c:pt idx="176">
                  <c:v>10</c:v>
                </c:pt>
                <c:pt idx="177">
                  <c:v>11</c:v>
                </c:pt>
                <c:pt idx="178">
                  <c:v>13</c:v>
                </c:pt>
                <c:pt idx="179">
                  <c:v>12</c:v>
                </c:pt>
                <c:pt idx="180">
                  <c:v>5</c:v>
                </c:pt>
                <c:pt idx="181">
                  <c:v>5</c:v>
                </c:pt>
                <c:pt idx="182">
                  <c:v>6</c:v>
                </c:pt>
                <c:pt idx="183">
                  <c:v>11</c:v>
                </c:pt>
                <c:pt idx="184">
                  <c:v>5</c:v>
                </c:pt>
                <c:pt idx="185">
                  <c:v>7</c:v>
                </c:pt>
                <c:pt idx="186">
                  <c:v>6</c:v>
                </c:pt>
                <c:pt idx="187">
                  <c:v>5</c:v>
                </c:pt>
                <c:pt idx="188">
                  <c:v>13</c:v>
                </c:pt>
                <c:pt idx="189">
                  <c:v>7</c:v>
                </c:pt>
                <c:pt idx="190">
                  <c:v>6</c:v>
                </c:pt>
                <c:pt idx="191">
                  <c:v>6</c:v>
                </c:pt>
                <c:pt idx="192">
                  <c:v>11</c:v>
                </c:pt>
                <c:pt idx="193">
                  <c:v>19</c:v>
                </c:pt>
                <c:pt idx="194">
                  <c:v>10</c:v>
                </c:pt>
                <c:pt idx="195">
                  <c:v>11</c:v>
                </c:pt>
                <c:pt idx="196">
                  <c:v>7</c:v>
                </c:pt>
                <c:pt idx="197">
                  <c:v>6</c:v>
                </c:pt>
                <c:pt idx="198">
                  <c:v>5</c:v>
                </c:pt>
                <c:pt idx="199">
                  <c:v>8</c:v>
                </c:pt>
                <c:pt idx="200">
                  <c:v>11</c:v>
                </c:pt>
                <c:pt idx="201">
                  <c:v>11</c:v>
                </c:pt>
                <c:pt idx="202">
                  <c:v>5</c:v>
                </c:pt>
                <c:pt idx="203">
                  <c:v>11</c:v>
                </c:pt>
                <c:pt idx="204">
                  <c:v>10</c:v>
                </c:pt>
                <c:pt idx="205">
                  <c:v>6</c:v>
                </c:pt>
                <c:pt idx="206">
                  <c:v>13</c:v>
                </c:pt>
                <c:pt idx="207">
                  <c:v>10</c:v>
                </c:pt>
                <c:pt idx="208">
                  <c:v>10</c:v>
                </c:pt>
                <c:pt idx="209">
                  <c:v>12</c:v>
                </c:pt>
                <c:pt idx="210">
                  <c:v>11</c:v>
                </c:pt>
                <c:pt idx="211">
                  <c:v>6</c:v>
                </c:pt>
                <c:pt idx="212">
                  <c:v>11</c:v>
                </c:pt>
                <c:pt idx="213">
                  <c:v>12</c:v>
                </c:pt>
                <c:pt idx="214">
                  <c:v>13</c:v>
                </c:pt>
                <c:pt idx="215">
                  <c:v>10</c:v>
                </c:pt>
                <c:pt idx="216">
                  <c:v>16</c:v>
                </c:pt>
                <c:pt idx="217">
                  <c:v>11</c:v>
                </c:pt>
                <c:pt idx="218">
                  <c:v>11</c:v>
                </c:pt>
                <c:pt idx="219">
                  <c:v>13</c:v>
                </c:pt>
                <c:pt idx="220">
                  <c:v>6</c:v>
                </c:pt>
                <c:pt idx="221">
                  <c:v>6</c:v>
                </c:pt>
                <c:pt idx="222">
                  <c:v>10</c:v>
                </c:pt>
                <c:pt idx="223">
                  <c:v>7</c:v>
                </c:pt>
                <c:pt idx="224">
                  <c:v>12</c:v>
                </c:pt>
                <c:pt idx="225">
                  <c:v>11</c:v>
                </c:pt>
                <c:pt idx="226">
                  <c:v>12</c:v>
                </c:pt>
                <c:pt idx="227">
                  <c:v>12</c:v>
                </c:pt>
                <c:pt idx="228">
                  <c:v>7</c:v>
                </c:pt>
                <c:pt idx="229">
                  <c:v>13</c:v>
                </c:pt>
                <c:pt idx="230">
                  <c:v>10</c:v>
                </c:pt>
                <c:pt idx="231">
                  <c:v>10</c:v>
                </c:pt>
                <c:pt idx="232">
                  <c:v>11</c:v>
                </c:pt>
                <c:pt idx="233">
                  <c:v>12</c:v>
                </c:pt>
                <c:pt idx="234">
                  <c:v>12</c:v>
                </c:pt>
                <c:pt idx="235">
                  <c:v>13</c:v>
                </c:pt>
                <c:pt idx="236">
                  <c:v>7</c:v>
                </c:pt>
                <c:pt idx="237">
                  <c:v>6</c:v>
                </c:pt>
                <c:pt idx="238">
                  <c:v>6</c:v>
                </c:pt>
                <c:pt idx="239">
                  <c:v>10</c:v>
                </c:pt>
                <c:pt idx="240">
                  <c:v>8</c:v>
                </c:pt>
                <c:pt idx="241">
                  <c:v>10</c:v>
                </c:pt>
                <c:pt idx="242">
                  <c:v>11</c:v>
                </c:pt>
                <c:pt idx="243">
                  <c:v>5</c:v>
                </c:pt>
                <c:pt idx="244">
                  <c:v>11</c:v>
                </c:pt>
                <c:pt idx="245">
                  <c:v>12</c:v>
                </c:pt>
                <c:pt idx="246">
                  <c:v>10</c:v>
                </c:pt>
                <c:pt idx="247">
                  <c:v>12</c:v>
                </c:pt>
                <c:pt idx="248">
                  <c:v>13</c:v>
                </c:pt>
                <c:pt idx="249">
                  <c:v>12</c:v>
                </c:pt>
                <c:pt idx="250">
                  <c:v>13</c:v>
                </c:pt>
                <c:pt idx="251">
                  <c:v>7</c:v>
                </c:pt>
                <c:pt idx="252">
                  <c:v>13</c:v>
                </c:pt>
                <c:pt idx="253">
                  <c:v>11</c:v>
                </c:pt>
                <c:pt idx="254">
                  <c:v>10</c:v>
                </c:pt>
                <c:pt idx="255">
                  <c:v>12</c:v>
                </c:pt>
                <c:pt idx="256">
                  <c:v>12</c:v>
                </c:pt>
                <c:pt idx="257">
                  <c:v>10</c:v>
                </c:pt>
                <c:pt idx="258">
                  <c:v>13</c:v>
                </c:pt>
                <c:pt idx="259">
                  <c:v>10</c:v>
                </c:pt>
                <c:pt idx="260">
                  <c:v>10</c:v>
                </c:pt>
                <c:pt idx="261">
                  <c:v>5</c:v>
                </c:pt>
                <c:pt idx="262">
                  <c:v>5</c:v>
                </c:pt>
                <c:pt idx="263">
                  <c:v>7</c:v>
                </c:pt>
                <c:pt idx="264">
                  <c:v>13</c:v>
                </c:pt>
                <c:pt idx="265">
                  <c:v>11</c:v>
                </c:pt>
                <c:pt idx="266">
                  <c:v>11</c:v>
                </c:pt>
                <c:pt idx="267">
                  <c:v>10</c:v>
                </c:pt>
                <c:pt idx="268">
                  <c:v>12</c:v>
                </c:pt>
                <c:pt idx="269">
                  <c:v>11</c:v>
                </c:pt>
                <c:pt idx="270">
                  <c:v>11</c:v>
                </c:pt>
                <c:pt idx="271">
                  <c:v>12</c:v>
                </c:pt>
                <c:pt idx="272">
                  <c:v>11</c:v>
                </c:pt>
                <c:pt idx="273">
                  <c:v>5</c:v>
                </c:pt>
                <c:pt idx="274">
                  <c:v>5</c:v>
                </c:pt>
                <c:pt idx="275">
                  <c:v>11</c:v>
                </c:pt>
                <c:pt idx="276">
                  <c:v>13</c:v>
                </c:pt>
                <c:pt idx="277">
                  <c:v>8</c:v>
                </c:pt>
                <c:pt idx="278">
                  <c:v>7</c:v>
                </c:pt>
                <c:pt idx="279">
                  <c:v>5</c:v>
                </c:pt>
                <c:pt idx="280">
                  <c:v>10</c:v>
                </c:pt>
                <c:pt idx="281">
                  <c:v>10</c:v>
                </c:pt>
                <c:pt idx="282">
                  <c:v>5</c:v>
                </c:pt>
                <c:pt idx="283">
                  <c:v>11</c:v>
                </c:pt>
                <c:pt idx="284">
                  <c:v>6</c:v>
                </c:pt>
                <c:pt idx="285">
                  <c:v>8</c:v>
                </c:pt>
                <c:pt idx="286">
                  <c:v>10</c:v>
                </c:pt>
                <c:pt idx="287">
                  <c:v>11</c:v>
                </c:pt>
                <c:pt idx="288">
                  <c:v>13</c:v>
                </c:pt>
                <c:pt idx="289">
                  <c:v>11</c:v>
                </c:pt>
                <c:pt idx="290">
                  <c:v>7</c:v>
                </c:pt>
                <c:pt idx="291">
                  <c:v>7</c:v>
                </c:pt>
                <c:pt idx="292">
                  <c:v>7</c:v>
                </c:pt>
                <c:pt idx="293">
                  <c:v>6</c:v>
                </c:pt>
                <c:pt idx="294">
                  <c:v>7</c:v>
                </c:pt>
                <c:pt idx="295">
                  <c:v>13</c:v>
                </c:pt>
                <c:pt idx="296">
                  <c:v>7</c:v>
                </c:pt>
                <c:pt idx="297">
                  <c:v>8</c:v>
                </c:pt>
                <c:pt idx="298">
                  <c:v>18</c:v>
                </c:pt>
                <c:pt idx="299">
                  <c:v>6</c:v>
                </c:pt>
                <c:pt idx="300">
                  <c:v>13</c:v>
                </c:pt>
                <c:pt idx="301">
                  <c:v>7</c:v>
                </c:pt>
                <c:pt idx="302">
                  <c:v>6</c:v>
                </c:pt>
                <c:pt idx="303">
                  <c:v>18</c:v>
                </c:pt>
                <c:pt idx="304">
                  <c:v>8</c:v>
                </c:pt>
                <c:pt idx="305">
                  <c:v>10</c:v>
                </c:pt>
                <c:pt idx="306">
                  <c:v>12</c:v>
                </c:pt>
                <c:pt idx="307">
                  <c:v>13</c:v>
                </c:pt>
                <c:pt idx="308">
                  <c:v>11</c:v>
                </c:pt>
                <c:pt idx="309">
                  <c:v>13</c:v>
                </c:pt>
                <c:pt idx="310">
                  <c:v>12</c:v>
                </c:pt>
                <c:pt idx="311">
                  <c:v>12</c:v>
                </c:pt>
                <c:pt idx="312">
                  <c:v>16</c:v>
                </c:pt>
                <c:pt idx="313">
                  <c:v>14</c:v>
                </c:pt>
                <c:pt idx="314">
                  <c:v>12</c:v>
                </c:pt>
                <c:pt idx="315">
                  <c:v>13</c:v>
                </c:pt>
                <c:pt idx="316">
                  <c:v>18</c:v>
                </c:pt>
                <c:pt idx="317">
                  <c:v>11</c:v>
                </c:pt>
                <c:pt idx="318">
                  <c:v>6</c:v>
                </c:pt>
                <c:pt idx="319">
                  <c:v>7</c:v>
                </c:pt>
                <c:pt idx="320">
                  <c:v>12</c:v>
                </c:pt>
                <c:pt idx="321">
                  <c:v>12</c:v>
                </c:pt>
                <c:pt idx="322">
                  <c:v>16</c:v>
                </c:pt>
                <c:pt idx="323">
                  <c:v>13</c:v>
                </c:pt>
                <c:pt idx="324">
                  <c:v>12</c:v>
                </c:pt>
                <c:pt idx="325">
                  <c:v>6</c:v>
                </c:pt>
                <c:pt idx="326">
                  <c:v>10</c:v>
                </c:pt>
                <c:pt idx="327">
                  <c:v>8</c:v>
                </c:pt>
                <c:pt idx="328">
                  <c:v>13</c:v>
                </c:pt>
                <c:pt idx="329">
                  <c:v>10</c:v>
                </c:pt>
                <c:pt idx="330">
                  <c:v>13</c:v>
                </c:pt>
                <c:pt idx="331">
                  <c:v>9</c:v>
                </c:pt>
                <c:pt idx="332">
                  <c:v>8</c:v>
                </c:pt>
                <c:pt idx="333">
                  <c:v>9</c:v>
                </c:pt>
                <c:pt idx="334">
                  <c:v>11</c:v>
                </c:pt>
                <c:pt idx="335">
                  <c:v>11</c:v>
                </c:pt>
                <c:pt idx="336">
                  <c:v>12</c:v>
                </c:pt>
                <c:pt idx="337">
                  <c:v>12</c:v>
                </c:pt>
                <c:pt idx="338">
                  <c:v>11</c:v>
                </c:pt>
                <c:pt idx="339">
                  <c:v>13</c:v>
                </c:pt>
                <c:pt idx="340">
                  <c:v>11</c:v>
                </c:pt>
                <c:pt idx="341">
                  <c:v>7</c:v>
                </c:pt>
                <c:pt idx="342">
                  <c:v>13</c:v>
                </c:pt>
                <c:pt idx="343">
                  <c:v>10</c:v>
                </c:pt>
                <c:pt idx="344">
                  <c:v>13</c:v>
                </c:pt>
                <c:pt idx="345">
                  <c:v>10</c:v>
                </c:pt>
                <c:pt idx="346">
                  <c:v>12</c:v>
                </c:pt>
                <c:pt idx="347">
                  <c:v>10</c:v>
                </c:pt>
                <c:pt idx="348">
                  <c:v>7</c:v>
                </c:pt>
                <c:pt idx="349">
                  <c:v>12</c:v>
                </c:pt>
                <c:pt idx="350">
                  <c:v>12</c:v>
                </c:pt>
                <c:pt idx="351">
                  <c:v>12</c:v>
                </c:pt>
                <c:pt idx="352">
                  <c:v>13</c:v>
                </c:pt>
                <c:pt idx="353">
                  <c:v>11</c:v>
                </c:pt>
                <c:pt idx="354">
                  <c:v>12</c:v>
                </c:pt>
                <c:pt idx="355">
                  <c:v>10</c:v>
                </c:pt>
                <c:pt idx="356">
                  <c:v>12</c:v>
                </c:pt>
                <c:pt idx="357">
                  <c:v>17</c:v>
                </c:pt>
                <c:pt idx="358">
                  <c:v>11</c:v>
                </c:pt>
                <c:pt idx="359">
                  <c:v>10</c:v>
                </c:pt>
                <c:pt idx="360">
                  <c:v>11</c:v>
                </c:pt>
                <c:pt idx="361">
                  <c:v>10</c:v>
                </c:pt>
                <c:pt idx="362">
                  <c:v>15</c:v>
                </c:pt>
                <c:pt idx="363">
                  <c:v>12</c:v>
                </c:pt>
                <c:pt idx="364">
                  <c:v>6</c:v>
                </c:pt>
                <c:pt idx="365">
                  <c:v>12</c:v>
                </c:pt>
                <c:pt idx="366">
                  <c:v>7</c:v>
                </c:pt>
                <c:pt idx="367">
                  <c:v>16</c:v>
                </c:pt>
                <c:pt idx="368">
                  <c:v>11</c:v>
                </c:pt>
                <c:pt idx="369">
                  <c:v>6</c:v>
                </c:pt>
                <c:pt idx="370">
                  <c:v>7</c:v>
                </c:pt>
                <c:pt idx="371">
                  <c:v>7</c:v>
                </c:pt>
                <c:pt idx="372">
                  <c:v>8</c:v>
                </c:pt>
                <c:pt idx="373">
                  <c:v>12</c:v>
                </c:pt>
                <c:pt idx="374">
                  <c:v>12</c:v>
                </c:pt>
                <c:pt idx="375">
                  <c:v>8</c:v>
                </c:pt>
                <c:pt idx="376">
                  <c:v>11</c:v>
                </c:pt>
                <c:pt idx="377">
                  <c:v>13</c:v>
                </c:pt>
                <c:pt idx="378">
                  <c:v>11</c:v>
                </c:pt>
                <c:pt idx="379">
                  <c:v>13</c:v>
                </c:pt>
                <c:pt idx="380">
                  <c:v>15</c:v>
                </c:pt>
                <c:pt idx="381">
                  <c:v>13</c:v>
                </c:pt>
                <c:pt idx="382">
                  <c:v>12</c:v>
                </c:pt>
                <c:pt idx="383">
                  <c:v>11</c:v>
                </c:pt>
                <c:pt idx="384">
                  <c:v>11</c:v>
                </c:pt>
                <c:pt idx="385">
                  <c:v>8</c:v>
                </c:pt>
                <c:pt idx="386">
                  <c:v>6</c:v>
                </c:pt>
                <c:pt idx="387">
                  <c:v>10</c:v>
                </c:pt>
                <c:pt idx="388">
                  <c:v>12</c:v>
                </c:pt>
                <c:pt idx="389">
                  <c:v>17</c:v>
                </c:pt>
                <c:pt idx="390">
                  <c:v>12</c:v>
                </c:pt>
                <c:pt idx="391">
                  <c:v>8</c:v>
                </c:pt>
                <c:pt idx="392">
                  <c:v>5</c:v>
                </c:pt>
                <c:pt idx="393">
                  <c:v>13</c:v>
                </c:pt>
                <c:pt idx="394">
                  <c:v>11</c:v>
                </c:pt>
                <c:pt idx="395">
                  <c:v>13</c:v>
                </c:pt>
                <c:pt idx="396">
                  <c:v>11</c:v>
                </c:pt>
                <c:pt idx="397">
                  <c:v>13</c:v>
                </c:pt>
                <c:pt idx="398">
                  <c:v>5</c:v>
                </c:pt>
                <c:pt idx="399">
                  <c:v>6</c:v>
                </c:pt>
                <c:pt idx="400">
                  <c:v>6</c:v>
                </c:pt>
                <c:pt idx="401">
                  <c:v>7</c:v>
                </c:pt>
                <c:pt idx="402">
                  <c:v>11</c:v>
                </c:pt>
                <c:pt idx="403">
                  <c:v>6</c:v>
                </c:pt>
                <c:pt idx="404">
                  <c:v>6</c:v>
                </c:pt>
                <c:pt idx="405">
                  <c:v>7</c:v>
                </c:pt>
                <c:pt idx="406">
                  <c:v>5</c:v>
                </c:pt>
                <c:pt idx="407">
                  <c:v>7</c:v>
                </c:pt>
                <c:pt idx="408">
                  <c:v>8</c:v>
                </c:pt>
                <c:pt idx="409">
                  <c:v>12</c:v>
                </c:pt>
                <c:pt idx="410">
                  <c:v>13</c:v>
                </c:pt>
                <c:pt idx="411">
                  <c:v>13</c:v>
                </c:pt>
                <c:pt idx="412">
                  <c:v>16</c:v>
                </c:pt>
                <c:pt idx="413">
                  <c:v>11</c:v>
                </c:pt>
                <c:pt idx="414">
                  <c:v>16</c:v>
                </c:pt>
                <c:pt idx="415">
                  <c:v>11</c:v>
                </c:pt>
                <c:pt idx="416">
                  <c:v>14</c:v>
                </c:pt>
                <c:pt idx="417">
                  <c:v>17</c:v>
                </c:pt>
                <c:pt idx="418">
                  <c:v>17</c:v>
                </c:pt>
                <c:pt idx="419">
                  <c:v>16</c:v>
                </c:pt>
                <c:pt idx="420">
                  <c:v>12</c:v>
                </c:pt>
                <c:pt idx="421">
                  <c:v>15</c:v>
                </c:pt>
                <c:pt idx="422">
                  <c:v>13</c:v>
                </c:pt>
                <c:pt idx="423">
                  <c:v>15</c:v>
                </c:pt>
                <c:pt idx="424">
                  <c:v>17</c:v>
                </c:pt>
                <c:pt idx="425">
                  <c:v>14</c:v>
                </c:pt>
                <c:pt idx="426">
                  <c:v>13</c:v>
                </c:pt>
                <c:pt idx="427">
                  <c:v>6</c:v>
                </c:pt>
                <c:pt idx="428">
                  <c:v>12</c:v>
                </c:pt>
                <c:pt idx="429">
                  <c:v>11</c:v>
                </c:pt>
                <c:pt idx="430">
                  <c:v>13</c:v>
                </c:pt>
                <c:pt idx="431">
                  <c:v>5</c:v>
                </c:pt>
                <c:pt idx="432">
                  <c:v>11</c:v>
                </c:pt>
                <c:pt idx="433">
                  <c:v>10</c:v>
                </c:pt>
                <c:pt idx="434">
                  <c:v>16</c:v>
                </c:pt>
                <c:pt idx="435">
                  <c:v>16</c:v>
                </c:pt>
                <c:pt idx="436">
                  <c:v>17</c:v>
                </c:pt>
                <c:pt idx="437">
                  <c:v>12</c:v>
                </c:pt>
                <c:pt idx="438">
                  <c:v>10</c:v>
                </c:pt>
                <c:pt idx="439">
                  <c:v>12</c:v>
                </c:pt>
                <c:pt idx="440">
                  <c:v>14</c:v>
                </c:pt>
                <c:pt idx="441">
                  <c:v>12</c:v>
                </c:pt>
                <c:pt idx="442">
                  <c:v>6</c:v>
                </c:pt>
                <c:pt idx="443">
                  <c:v>18</c:v>
                </c:pt>
                <c:pt idx="444">
                  <c:v>15</c:v>
                </c:pt>
                <c:pt idx="445">
                  <c:v>7</c:v>
                </c:pt>
                <c:pt idx="446">
                  <c:v>6</c:v>
                </c:pt>
                <c:pt idx="447">
                  <c:v>8</c:v>
                </c:pt>
                <c:pt idx="448">
                  <c:v>6</c:v>
                </c:pt>
                <c:pt idx="449">
                  <c:v>13</c:v>
                </c:pt>
                <c:pt idx="450">
                  <c:v>6</c:v>
                </c:pt>
                <c:pt idx="451">
                  <c:v>15</c:v>
                </c:pt>
                <c:pt idx="452">
                  <c:v>12</c:v>
                </c:pt>
                <c:pt idx="453">
                  <c:v>6</c:v>
                </c:pt>
                <c:pt idx="454">
                  <c:v>8</c:v>
                </c:pt>
                <c:pt idx="455">
                  <c:v>10</c:v>
                </c:pt>
                <c:pt idx="456">
                  <c:v>14</c:v>
                </c:pt>
                <c:pt idx="457">
                  <c:v>18</c:v>
                </c:pt>
                <c:pt idx="458">
                  <c:v>13</c:v>
                </c:pt>
                <c:pt idx="459">
                  <c:v>14</c:v>
                </c:pt>
                <c:pt idx="460">
                  <c:v>15</c:v>
                </c:pt>
                <c:pt idx="461">
                  <c:v>11</c:v>
                </c:pt>
                <c:pt idx="462">
                  <c:v>12</c:v>
                </c:pt>
                <c:pt idx="463">
                  <c:v>14</c:v>
                </c:pt>
                <c:pt idx="464">
                  <c:v>16</c:v>
                </c:pt>
                <c:pt idx="465">
                  <c:v>6</c:v>
                </c:pt>
                <c:pt idx="466">
                  <c:v>6</c:v>
                </c:pt>
                <c:pt idx="467">
                  <c:v>12</c:v>
                </c:pt>
                <c:pt idx="468">
                  <c:v>7</c:v>
                </c:pt>
                <c:pt idx="469">
                  <c:v>6</c:v>
                </c:pt>
                <c:pt idx="470">
                  <c:v>10</c:v>
                </c:pt>
                <c:pt idx="471">
                  <c:v>6</c:v>
                </c:pt>
                <c:pt idx="472">
                  <c:v>10</c:v>
                </c:pt>
                <c:pt idx="473">
                  <c:v>16</c:v>
                </c:pt>
                <c:pt idx="474">
                  <c:v>10</c:v>
                </c:pt>
                <c:pt idx="475">
                  <c:v>17</c:v>
                </c:pt>
                <c:pt idx="476">
                  <c:v>12</c:v>
                </c:pt>
                <c:pt idx="477">
                  <c:v>6</c:v>
                </c:pt>
                <c:pt idx="478">
                  <c:v>6</c:v>
                </c:pt>
                <c:pt idx="479">
                  <c:v>16</c:v>
                </c:pt>
                <c:pt idx="480">
                  <c:v>8</c:v>
                </c:pt>
                <c:pt idx="481">
                  <c:v>6</c:v>
                </c:pt>
                <c:pt idx="482">
                  <c:v>7</c:v>
                </c:pt>
                <c:pt idx="483">
                  <c:v>9</c:v>
                </c:pt>
                <c:pt idx="484">
                  <c:v>10</c:v>
                </c:pt>
                <c:pt idx="485">
                  <c:v>6</c:v>
                </c:pt>
                <c:pt idx="486">
                  <c:v>10</c:v>
                </c:pt>
                <c:pt idx="487">
                  <c:v>17</c:v>
                </c:pt>
                <c:pt idx="488">
                  <c:v>14</c:v>
                </c:pt>
                <c:pt idx="489">
                  <c:v>11</c:v>
                </c:pt>
                <c:pt idx="490">
                  <c:v>9</c:v>
                </c:pt>
                <c:pt idx="491">
                  <c:v>14</c:v>
                </c:pt>
                <c:pt idx="492">
                  <c:v>11</c:v>
                </c:pt>
                <c:pt idx="493">
                  <c:v>8</c:v>
                </c:pt>
                <c:pt idx="494">
                  <c:v>11</c:v>
                </c:pt>
                <c:pt idx="495">
                  <c:v>6</c:v>
                </c:pt>
                <c:pt idx="496">
                  <c:v>7</c:v>
                </c:pt>
                <c:pt idx="497">
                  <c:v>13</c:v>
                </c:pt>
                <c:pt idx="498">
                  <c:v>13</c:v>
                </c:pt>
                <c:pt idx="499">
                  <c:v>11</c:v>
                </c:pt>
                <c:pt idx="500">
                  <c:v>10</c:v>
                </c:pt>
                <c:pt idx="501">
                  <c:v>13</c:v>
                </c:pt>
                <c:pt idx="502">
                  <c:v>11</c:v>
                </c:pt>
                <c:pt idx="503">
                  <c:v>12</c:v>
                </c:pt>
                <c:pt idx="504">
                  <c:v>10</c:v>
                </c:pt>
                <c:pt idx="505">
                  <c:v>8</c:v>
                </c:pt>
                <c:pt idx="506">
                  <c:v>10</c:v>
                </c:pt>
                <c:pt idx="507">
                  <c:v>12</c:v>
                </c:pt>
                <c:pt idx="508">
                  <c:v>11</c:v>
                </c:pt>
                <c:pt idx="509">
                  <c:v>7</c:v>
                </c:pt>
                <c:pt idx="510">
                  <c:v>13</c:v>
                </c:pt>
                <c:pt idx="511">
                  <c:v>10</c:v>
                </c:pt>
                <c:pt idx="512">
                  <c:v>9</c:v>
                </c:pt>
                <c:pt idx="513">
                  <c:v>12</c:v>
                </c:pt>
                <c:pt idx="514">
                  <c:v>11</c:v>
                </c:pt>
                <c:pt idx="515">
                  <c:v>11</c:v>
                </c:pt>
                <c:pt idx="516">
                  <c:v>12</c:v>
                </c:pt>
                <c:pt idx="517">
                  <c:v>11</c:v>
                </c:pt>
                <c:pt idx="518">
                  <c:v>9</c:v>
                </c:pt>
                <c:pt idx="519">
                  <c:v>8</c:v>
                </c:pt>
                <c:pt idx="520">
                  <c:v>8</c:v>
                </c:pt>
                <c:pt idx="521">
                  <c:v>7</c:v>
                </c:pt>
                <c:pt idx="522">
                  <c:v>12</c:v>
                </c:pt>
                <c:pt idx="523">
                  <c:v>6</c:v>
                </c:pt>
                <c:pt idx="524">
                  <c:v>5</c:v>
                </c:pt>
                <c:pt idx="525">
                  <c:v>11</c:v>
                </c:pt>
                <c:pt idx="526">
                  <c:v>12</c:v>
                </c:pt>
                <c:pt idx="527">
                  <c:v>12</c:v>
                </c:pt>
                <c:pt idx="528">
                  <c:v>5</c:v>
                </c:pt>
                <c:pt idx="529">
                  <c:v>8</c:v>
                </c:pt>
                <c:pt idx="530">
                  <c:v>13</c:v>
                </c:pt>
                <c:pt idx="531">
                  <c:v>13</c:v>
                </c:pt>
                <c:pt idx="532">
                  <c:v>12</c:v>
                </c:pt>
                <c:pt idx="533">
                  <c:v>13</c:v>
                </c:pt>
                <c:pt idx="534">
                  <c:v>12</c:v>
                </c:pt>
                <c:pt idx="535">
                  <c:v>12</c:v>
                </c:pt>
                <c:pt idx="536">
                  <c:v>7</c:v>
                </c:pt>
                <c:pt idx="537">
                  <c:v>13</c:v>
                </c:pt>
                <c:pt idx="538">
                  <c:v>7</c:v>
                </c:pt>
                <c:pt idx="539">
                  <c:v>10</c:v>
                </c:pt>
                <c:pt idx="540">
                  <c:v>6</c:v>
                </c:pt>
                <c:pt idx="541">
                  <c:v>10</c:v>
                </c:pt>
                <c:pt idx="542">
                  <c:v>7</c:v>
                </c:pt>
                <c:pt idx="543">
                  <c:v>14</c:v>
                </c:pt>
                <c:pt idx="544">
                  <c:v>10</c:v>
                </c:pt>
                <c:pt idx="545">
                  <c:v>17</c:v>
                </c:pt>
                <c:pt idx="546">
                  <c:v>15</c:v>
                </c:pt>
                <c:pt idx="547">
                  <c:v>10</c:v>
                </c:pt>
                <c:pt idx="548">
                  <c:v>10</c:v>
                </c:pt>
                <c:pt idx="549">
                  <c:v>6</c:v>
                </c:pt>
                <c:pt idx="550">
                  <c:v>8</c:v>
                </c:pt>
                <c:pt idx="551">
                  <c:v>13</c:v>
                </c:pt>
                <c:pt idx="552">
                  <c:v>7</c:v>
                </c:pt>
                <c:pt idx="553">
                  <c:v>15</c:v>
                </c:pt>
                <c:pt idx="554">
                  <c:v>8</c:v>
                </c:pt>
                <c:pt idx="555">
                  <c:v>8</c:v>
                </c:pt>
                <c:pt idx="556">
                  <c:v>11</c:v>
                </c:pt>
                <c:pt idx="557">
                  <c:v>9</c:v>
                </c:pt>
                <c:pt idx="558">
                  <c:v>14</c:v>
                </c:pt>
                <c:pt idx="559">
                  <c:v>5</c:v>
                </c:pt>
                <c:pt idx="560">
                  <c:v>5</c:v>
                </c:pt>
                <c:pt idx="561">
                  <c:v>11</c:v>
                </c:pt>
                <c:pt idx="562">
                  <c:v>6</c:v>
                </c:pt>
                <c:pt idx="563">
                  <c:v>11</c:v>
                </c:pt>
                <c:pt idx="564">
                  <c:v>13</c:v>
                </c:pt>
                <c:pt idx="565">
                  <c:v>11</c:v>
                </c:pt>
                <c:pt idx="566">
                  <c:v>7</c:v>
                </c:pt>
                <c:pt idx="567">
                  <c:v>8</c:v>
                </c:pt>
                <c:pt idx="568">
                  <c:v>7</c:v>
                </c:pt>
                <c:pt idx="569">
                  <c:v>5</c:v>
                </c:pt>
                <c:pt idx="570">
                  <c:v>13</c:v>
                </c:pt>
                <c:pt idx="571">
                  <c:v>5</c:v>
                </c:pt>
                <c:pt idx="572">
                  <c:v>9</c:v>
                </c:pt>
                <c:pt idx="573">
                  <c:v>8</c:v>
                </c:pt>
                <c:pt idx="574">
                  <c:v>10</c:v>
                </c:pt>
                <c:pt idx="575">
                  <c:v>10</c:v>
                </c:pt>
                <c:pt idx="576">
                  <c:v>10</c:v>
                </c:pt>
                <c:pt idx="577">
                  <c:v>13</c:v>
                </c:pt>
                <c:pt idx="578">
                  <c:v>15</c:v>
                </c:pt>
                <c:pt idx="579">
                  <c:v>15</c:v>
                </c:pt>
                <c:pt idx="580">
                  <c:v>14</c:v>
                </c:pt>
                <c:pt idx="581">
                  <c:v>12</c:v>
                </c:pt>
                <c:pt idx="582">
                  <c:v>11</c:v>
                </c:pt>
                <c:pt idx="583">
                  <c:v>5</c:v>
                </c:pt>
                <c:pt idx="584">
                  <c:v>5</c:v>
                </c:pt>
                <c:pt idx="585">
                  <c:v>11</c:v>
                </c:pt>
                <c:pt idx="586">
                  <c:v>13</c:v>
                </c:pt>
                <c:pt idx="587">
                  <c:v>14</c:v>
                </c:pt>
                <c:pt idx="588">
                  <c:v>12</c:v>
                </c:pt>
                <c:pt idx="589">
                  <c:v>9</c:v>
                </c:pt>
                <c:pt idx="590">
                  <c:v>17</c:v>
                </c:pt>
                <c:pt idx="591">
                  <c:v>14</c:v>
                </c:pt>
                <c:pt idx="592">
                  <c:v>17</c:v>
                </c:pt>
                <c:pt idx="593">
                  <c:v>7</c:v>
                </c:pt>
                <c:pt idx="594">
                  <c:v>8</c:v>
                </c:pt>
                <c:pt idx="595">
                  <c:v>5</c:v>
                </c:pt>
                <c:pt idx="596">
                  <c:v>6</c:v>
                </c:pt>
                <c:pt idx="597">
                  <c:v>5</c:v>
                </c:pt>
                <c:pt idx="598">
                  <c:v>5</c:v>
                </c:pt>
                <c:pt idx="599">
                  <c:v>9</c:v>
                </c:pt>
                <c:pt idx="600">
                  <c:v>10</c:v>
                </c:pt>
                <c:pt idx="601">
                  <c:v>7</c:v>
                </c:pt>
                <c:pt idx="602">
                  <c:v>16</c:v>
                </c:pt>
                <c:pt idx="603">
                  <c:v>8</c:v>
                </c:pt>
                <c:pt idx="604">
                  <c:v>7</c:v>
                </c:pt>
                <c:pt idx="605">
                  <c:v>17</c:v>
                </c:pt>
                <c:pt idx="606">
                  <c:v>8</c:v>
                </c:pt>
                <c:pt idx="607">
                  <c:v>13</c:v>
                </c:pt>
                <c:pt idx="608">
                  <c:v>12</c:v>
                </c:pt>
                <c:pt idx="609">
                  <c:v>12</c:v>
                </c:pt>
                <c:pt idx="610">
                  <c:v>17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13</c:v>
                </c:pt>
                <c:pt idx="615">
                  <c:v>6</c:v>
                </c:pt>
                <c:pt idx="616">
                  <c:v>13</c:v>
                </c:pt>
                <c:pt idx="617">
                  <c:v>6</c:v>
                </c:pt>
                <c:pt idx="618">
                  <c:v>6</c:v>
                </c:pt>
                <c:pt idx="619">
                  <c:v>8</c:v>
                </c:pt>
                <c:pt idx="620">
                  <c:v>7</c:v>
                </c:pt>
                <c:pt idx="621">
                  <c:v>13</c:v>
                </c:pt>
                <c:pt idx="622">
                  <c:v>10</c:v>
                </c:pt>
                <c:pt idx="623">
                  <c:v>12</c:v>
                </c:pt>
                <c:pt idx="624">
                  <c:v>9</c:v>
                </c:pt>
                <c:pt idx="625">
                  <c:v>19</c:v>
                </c:pt>
                <c:pt idx="626">
                  <c:v>15</c:v>
                </c:pt>
                <c:pt idx="627">
                  <c:v>13</c:v>
                </c:pt>
                <c:pt idx="628">
                  <c:v>8</c:v>
                </c:pt>
                <c:pt idx="629">
                  <c:v>15</c:v>
                </c:pt>
                <c:pt idx="630">
                  <c:v>13</c:v>
                </c:pt>
                <c:pt idx="631">
                  <c:v>12</c:v>
                </c:pt>
                <c:pt idx="632">
                  <c:v>14</c:v>
                </c:pt>
                <c:pt idx="633">
                  <c:v>18</c:v>
                </c:pt>
                <c:pt idx="634">
                  <c:v>15</c:v>
                </c:pt>
                <c:pt idx="635">
                  <c:v>15</c:v>
                </c:pt>
                <c:pt idx="636">
                  <c:v>16</c:v>
                </c:pt>
                <c:pt idx="637">
                  <c:v>7</c:v>
                </c:pt>
                <c:pt idx="638">
                  <c:v>12</c:v>
                </c:pt>
                <c:pt idx="639">
                  <c:v>7</c:v>
                </c:pt>
                <c:pt idx="640">
                  <c:v>10</c:v>
                </c:pt>
                <c:pt idx="641">
                  <c:v>18</c:v>
                </c:pt>
                <c:pt idx="642">
                  <c:v>13</c:v>
                </c:pt>
                <c:pt idx="643">
                  <c:v>6</c:v>
                </c:pt>
                <c:pt idx="644">
                  <c:v>6</c:v>
                </c:pt>
                <c:pt idx="645">
                  <c:v>8</c:v>
                </c:pt>
                <c:pt idx="646">
                  <c:v>7</c:v>
                </c:pt>
                <c:pt idx="647">
                  <c:v>6</c:v>
                </c:pt>
                <c:pt idx="648">
                  <c:v>14</c:v>
                </c:pt>
                <c:pt idx="649">
                  <c:v>7</c:v>
                </c:pt>
                <c:pt idx="650">
                  <c:v>9</c:v>
                </c:pt>
                <c:pt idx="651">
                  <c:v>6</c:v>
                </c:pt>
                <c:pt idx="652">
                  <c:v>5</c:v>
                </c:pt>
                <c:pt idx="653">
                  <c:v>14</c:v>
                </c:pt>
                <c:pt idx="654">
                  <c:v>8</c:v>
                </c:pt>
                <c:pt idx="655">
                  <c:v>12</c:v>
                </c:pt>
                <c:pt idx="656">
                  <c:v>13</c:v>
                </c:pt>
                <c:pt idx="657">
                  <c:v>11</c:v>
                </c:pt>
                <c:pt idx="658">
                  <c:v>10</c:v>
                </c:pt>
                <c:pt idx="659">
                  <c:v>11</c:v>
                </c:pt>
                <c:pt idx="660">
                  <c:v>10</c:v>
                </c:pt>
                <c:pt idx="661">
                  <c:v>8</c:v>
                </c:pt>
                <c:pt idx="662">
                  <c:v>12</c:v>
                </c:pt>
                <c:pt idx="663">
                  <c:v>5</c:v>
                </c:pt>
                <c:pt idx="664">
                  <c:v>10</c:v>
                </c:pt>
                <c:pt idx="665">
                  <c:v>6</c:v>
                </c:pt>
                <c:pt idx="666">
                  <c:v>13</c:v>
                </c:pt>
                <c:pt idx="667">
                  <c:v>7</c:v>
                </c:pt>
                <c:pt idx="668">
                  <c:v>8</c:v>
                </c:pt>
                <c:pt idx="669">
                  <c:v>8</c:v>
                </c:pt>
                <c:pt idx="670">
                  <c:v>10</c:v>
                </c:pt>
                <c:pt idx="671">
                  <c:v>8</c:v>
                </c:pt>
                <c:pt idx="672">
                  <c:v>8</c:v>
                </c:pt>
                <c:pt idx="673">
                  <c:v>9</c:v>
                </c:pt>
                <c:pt idx="674">
                  <c:v>8</c:v>
                </c:pt>
                <c:pt idx="675">
                  <c:v>8</c:v>
                </c:pt>
                <c:pt idx="676">
                  <c:v>12</c:v>
                </c:pt>
                <c:pt idx="677">
                  <c:v>6</c:v>
                </c:pt>
                <c:pt idx="678">
                  <c:v>10</c:v>
                </c:pt>
                <c:pt idx="679">
                  <c:v>11</c:v>
                </c:pt>
                <c:pt idx="680">
                  <c:v>17</c:v>
                </c:pt>
                <c:pt idx="681">
                  <c:v>9</c:v>
                </c:pt>
                <c:pt idx="682">
                  <c:v>8</c:v>
                </c:pt>
                <c:pt idx="683">
                  <c:v>12</c:v>
                </c:pt>
                <c:pt idx="684">
                  <c:v>10</c:v>
                </c:pt>
                <c:pt idx="685">
                  <c:v>6</c:v>
                </c:pt>
                <c:pt idx="686">
                  <c:v>12</c:v>
                </c:pt>
                <c:pt idx="687">
                  <c:v>7</c:v>
                </c:pt>
                <c:pt idx="688">
                  <c:v>12</c:v>
                </c:pt>
                <c:pt idx="689">
                  <c:v>7</c:v>
                </c:pt>
                <c:pt idx="690">
                  <c:v>8</c:v>
                </c:pt>
                <c:pt idx="691">
                  <c:v>8</c:v>
                </c:pt>
                <c:pt idx="692">
                  <c:v>6</c:v>
                </c:pt>
                <c:pt idx="693">
                  <c:v>9</c:v>
                </c:pt>
                <c:pt idx="694">
                  <c:v>8</c:v>
                </c:pt>
                <c:pt idx="695">
                  <c:v>8</c:v>
                </c:pt>
                <c:pt idx="696">
                  <c:v>7</c:v>
                </c:pt>
                <c:pt idx="697">
                  <c:v>7</c:v>
                </c:pt>
                <c:pt idx="698">
                  <c:v>6</c:v>
                </c:pt>
                <c:pt idx="699">
                  <c:v>9</c:v>
                </c:pt>
                <c:pt idx="700">
                  <c:v>10</c:v>
                </c:pt>
                <c:pt idx="701">
                  <c:v>13</c:v>
                </c:pt>
                <c:pt idx="702">
                  <c:v>11</c:v>
                </c:pt>
                <c:pt idx="703">
                  <c:v>7</c:v>
                </c:pt>
                <c:pt idx="704">
                  <c:v>7</c:v>
                </c:pt>
                <c:pt idx="705">
                  <c:v>14</c:v>
                </c:pt>
                <c:pt idx="706">
                  <c:v>11</c:v>
                </c:pt>
                <c:pt idx="707">
                  <c:v>13</c:v>
                </c:pt>
                <c:pt idx="708">
                  <c:v>9</c:v>
                </c:pt>
                <c:pt idx="709">
                  <c:v>15</c:v>
                </c:pt>
                <c:pt idx="710">
                  <c:v>6</c:v>
                </c:pt>
                <c:pt idx="711">
                  <c:v>9</c:v>
                </c:pt>
                <c:pt idx="712">
                  <c:v>10</c:v>
                </c:pt>
                <c:pt idx="713">
                  <c:v>10</c:v>
                </c:pt>
                <c:pt idx="714">
                  <c:v>5</c:v>
                </c:pt>
                <c:pt idx="715">
                  <c:v>16</c:v>
                </c:pt>
                <c:pt idx="716">
                  <c:v>5</c:v>
                </c:pt>
                <c:pt idx="717">
                  <c:v>7</c:v>
                </c:pt>
                <c:pt idx="718">
                  <c:v>6</c:v>
                </c:pt>
                <c:pt idx="719">
                  <c:v>5</c:v>
                </c:pt>
                <c:pt idx="720">
                  <c:v>8</c:v>
                </c:pt>
                <c:pt idx="721">
                  <c:v>7</c:v>
                </c:pt>
                <c:pt idx="722">
                  <c:v>9</c:v>
                </c:pt>
                <c:pt idx="723">
                  <c:v>9</c:v>
                </c:pt>
                <c:pt idx="724">
                  <c:v>7</c:v>
                </c:pt>
                <c:pt idx="725">
                  <c:v>6</c:v>
                </c:pt>
                <c:pt idx="726">
                  <c:v>12</c:v>
                </c:pt>
                <c:pt idx="727">
                  <c:v>8</c:v>
                </c:pt>
                <c:pt idx="728">
                  <c:v>13</c:v>
                </c:pt>
                <c:pt idx="729">
                  <c:v>6</c:v>
                </c:pt>
                <c:pt idx="730">
                  <c:v>8</c:v>
                </c:pt>
                <c:pt idx="731">
                  <c:v>16</c:v>
                </c:pt>
                <c:pt idx="732">
                  <c:v>7</c:v>
                </c:pt>
                <c:pt idx="733">
                  <c:v>16</c:v>
                </c:pt>
                <c:pt idx="734">
                  <c:v>11</c:v>
                </c:pt>
                <c:pt idx="735">
                  <c:v>21</c:v>
                </c:pt>
                <c:pt idx="736">
                  <c:v>7</c:v>
                </c:pt>
                <c:pt idx="737">
                  <c:v>6</c:v>
                </c:pt>
                <c:pt idx="738">
                  <c:v>6</c:v>
                </c:pt>
                <c:pt idx="739">
                  <c:v>7</c:v>
                </c:pt>
                <c:pt idx="740">
                  <c:v>17</c:v>
                </c:pt>
                <c:pt idx="741">
                  <c:v>10</c:v>
                </c:pt>
                <c:pt idx="742">
                  <c:v>7</c:v>
                </c:pt>
                <c:pt idx="743">
                  <c:v>12</c:v>
                </c:pt>
                <c:pt idx="744">
                  <c:v>11</c:v>
                </c:pt>
                <c:pt idx="745">
                  <c:v>13</c:v>
                </c:pt>
                <c:pt idx="746">
                  <c:v>18</c:v>
                </c:pt>
                <c:pt idx="747">
                  <c:v>8</c:v>
                </c:pt>
                <c:pt idx="748">
                  <c:v>13</c:v>
                </c:pt>
                <c:pt idx="749">
                  <c:v>19</c:v>
                </c:pt>
                <c:pt idx="750">
                  <c:v>9</c:v>
                </c:pt>
                <c:pt idx="751">
                  <c:v>10</c:v>
                </c:pt>
                <c:pt idx="752">
                  <c:v>12</c:v>
                </c:pt>
                <c:pt idx="753">
                  <c:v>12</c:v>
                </c:pt>
                <c:pt idx="754">
                  <c:v>13</c:v>
                </c:pt>
                <c:pt idx="755">
                  <c:v>6</c:v>
                </c:pt>
                <c:pt idx="756">
                  <c:v>15</c:v>
                </c:pt>
                <c:pt idx="757">
                  <c:v>12</c:v>
                </c:pt>
                <c:pt idx="758">
                  <c:v>6</c:v>
                </c:pt>
                <c:pt idx="759">
                  <c:v>16</c:v>
                </c:pt>
                <c:pt idx="760">
                  <c:v>6</c:v>
                </c:pt>
                <c:pt idx="761">
                  <c:v>8</c:v>
                </c:pt>
                <c:pt idx="762">
                  <c:v>17</c:v>
                </c:pt>
                <c:pt idx="763">
                  <c:v>9</c:v>
                </c:pt>
                <c:pt idx="764">
                  <c:v>7</c:v>
                </c:pt>
                <c:pt idx="765">
                  <c:v>5</c:v>
                </c:pt>
                <c:pt idx="766">
                  <c:v>18</c:v>
                </c:pt>
                <c:pt idx="767">
                  <c:v>18</c:v>
                </c:pt>
                <c:pt idx="768">
                  <c:v>13</c:v>
                </c:pt>
                <c:pt idx="769">
                  <c:v>4</c:v>
                </c:pt>
                <c:pt idx="770">
                  <c:v>6</c:v>
                </c:pt>
                <c:pt idx="771">
                  <c:v>13</c:v>
                </c:pt>
                <c:pt idx="772">
                  <c:v>8</c:v>
                </c:pt>
                <c:pt idx="773">
                  <c:v>9</c:v>
                </c:pt>
                <c:pt idx="774">
                  <c:v>6</c:v>
                </c:pt>
                <c:pt idx="775">
                  <c:v>12</c:v>
                </c:pt>
                <c:pt idx="776">
                  <c:v>17</c:v>
                </c:pt>
                <c:pt idx="777">
                  <c:v>6</c:v>
                </c:pt>
                <c:pt idx="778">
                  <c:v>6</c:v>
                </c:pt>
                <c:pt idx="779">
                  <c:v>10</c:v>
                </c:pt>
                <c:pt idx="780">
                  <c:v>5</c:v>
                </c:pt>
                <c:pt idx="781">
                  <c:v>12</c:v>
                </c:pt>
                <c:pt idx="782">
                  <c:v>8</c:v>
                </c:pt>
                <c:pt idx="783">
                  <c:v>9</c:v>
                </c:pt>
                <c:pt idx="784">
                  <c:v>8</c:v>
                </c:pt>
                <c:pt idx="785">
                  <c:v>12</c:v>
                </c:pt>
                <c:pt idx="786">
                  <c:v>8</c:v>
                </c:pt>
                <c:pt idx="787">
                  <c:v>12</c:v>
                </c:pt>
                <c:pt idx="788">
                  <c:v>8</c:v>
                </c:pt>
                <c:pt idx="789">
                  <c:v>12</c:v>
                </c:pt>
                <c:pt idx="790">
                  <c:v>6</c:v>
                </c:pt>
                <c:pt idx="791">
                  <c:v>6</c:v>
                </c:pt>
                <c:pt idx="792">
                  <c:v>9</c:v>
                </c:pt>
                <c:pt idx="793">
                  <c:v>9</c:v>
                </c:pt>
                <c:pt idx="794">
                  <c:v>6</c:v>
                </c:pt>
                <c:pt idx="795">
                  <c:v>6</c:v>
                </c:pt>
                <c:pt idx="796">
                  <c:v>8</c:v>
                </c:pt>
                <c:pt idx="797">
                  <c:v>8</c:v>
                </c:pt>
                <c:pt idx="798">
                  <c:v>8</c:v>
                </c:pt>
                <c:pt idx="799">
                  <c:v>6</c:v>
                </c:pt>
                <c:pt idx="800">
                  <c:v>10</c:v>
                </c:pt>
                <c:pt idx="801">
                  <c:v>15</c:v>
                </c:pt>
                <c:pt idx="802">
                  <c:v>8</c:v>
                </c:pt>
                <c:pt idx="803">
                  <c:v>7</c:v>
                </c:pt>
                <c:pt idx="804">
                  <c:v>9</c:v>
                </c:pt>
                <c:pt idx="805">
                  <c:v>11</c:v>
                </c:pt>
                <c:pt idx="806">
                  <c:v>6</c:v>
                </c:pt>
                <c:pt idx="807">
                  <c:v>8</c:v>
                </c:pt>
                <c:pt idx="808">
                  <c:v>13</c:v>
                </c:pt>
                <c:pt idx="809">
                  <c:v>13</c:v>
                </c:pt>
                <c:pt idx="810">
                  <c:v>14</c:v>
                </c:pt>
                <c:pt idx="811">
                  <c:v>17</c:v>
                </c:pt>
                <c:pt idx="812">
                  <c:v>10</c:v>
                </c:pt>
                <c:pt idx="813">
                  <c:v>12</c:v>
                </c:pt>
                <c:pt idx="814">
                  <c:v>14</c:v>
                </c:pt>
                <c:pt idx="815">
                  <c:v>13</c:v>
                </c:pt>
                <c:pt idx="816">
                  <c:v>16</c:v>
                </c:pt>
                <c:pt idx="817">
                  <c:v>16</c:v>
                </c:pt>
                <c:pt idx="818">
                  <c:v>13</c:v>
                </c:pt>
                <c:pt idx="819">
                  <c:v>11</c:v>
                </c:pt>
                <c:pt idx="820">
                  <c:v>13</c:v>
                </c:pt>
                <c:pt idx="821">
                  <c:v>17</c:v>
                </c:pt>
                <c:pt idx="822">
                  <c:v>18</c:v>
                </c:pt>
                <c:pt idx="823">
                  <c:v>8</c:v>
                </c:pt>
                <c:pt idx="824">
                  <c:v>6</c:v>
                </c:pt>
                <c:pt idx="825">
                  <c:v>7</c:v>
                </c:pt>
                <c:pt idx="826">
                  <c:v>15</c:v>
                </c:pt>
                <c:pt idx="827">
                  <c:v>13</c:v>
                </c:pt>
                <c:pt idx="828">
                  <c:v>14</c:v>
                </c:pt>
                <c:pt idx="829">
                  <c:v>12</c:v>
                </c:pt>
                <c:pt idx="830">
                  <c:v>11</c:v>
                </c:pt>
                <c:pt idx="831">
                  <c:v>13</c:v>
                </c:pt>
                <c:pt idx="832">
                  <c:v>12</c:v>
                </c:pt>
                <c:pt idx="833">
                  <c:v>5</c:v>
                </c:pt>
                <c:pt idx="834">
                  <c:v>7</c:v>
                </c:pt>
                <c:pt idx="835">
                  <c:v>12</c:v>
                </c:pt>
                <c:pt idx="836">
                  <c:v>11</c:v>
                </c:pt>
                <c:pt idx="837">
                  <c:v>12</c:v>
                </c:pt>
                <c:pt idx="838">
                  <c:v>15</c:v>
                </c:pt>
                <c:pt idx="839">
                  <c:v>9</c:v>
                </c:pt>
                <c:pt idx="840">
                  <c:v>10</c:v>
                </c:pt>
                <c:pt idx="841">
                  <c:v>10</c:v>
                </c:pt>
                <c:pt idx="842">
                  <c:v>12</c:v>
                </c:pt>
                <c:pt idx="843">
                  <c:v>8</c:v>
                </c:pt>
                <c:pt idx="844">
                  <c:v>6</c:v>
                </c:pt>
                <c:pt idx="845">
                  <c:v>8</c:v>
                </c:pt>
                <c:pt idx="846">
                  <c:v>8</c:v>
                </c:pt>
                <c:pt idx="847">
                  <c:v>5</c:v>
                </c:pt>
                <c:pt idx="848">
                  <c:v>12</c:v>
                </c:pt>
                <c:pt idx="849">
                  <c:v>12</c:v>
                </c:pt>
                <c:pt idx="850">
                  <c:v>15</c:v>
                </c:pt>
                <c:pt idx="851">
                  <c:v>13</c:v>
                </c:pt>
                <c:pt idx="852">
                  <c:v>6</c:v>
                </c:pt>
                <c:pt idx="853">
                  <c:v>16</c:v>
                </c:pt>
                <c:pt idx="854">
                  <c:v>12</c:v>
                </c:pt>
                <c:pt idx="855">
                  <c:v>5</c:v>
                </c:pt>
                <c:pt idx="856">
                  <c:v>10</c:v>
                </c:pt>
                <c:pt idx="857">
                  <c:v>5</c:v>
                </c:pt>
                <c:pt idx="858">
                  <c:v>8</c:v>
                </c:pt>
                <c:pt idx="859">
                  <c:v>6</c:v>
                </c:pt>
                <c:pt idx="860">
                  <c:v>9</c:v>
                </c:pt>
                <c:pt idx="861">
                  <c:v>14</c:v>
                </c:pt>
                <c:pt idx="862">
                  <c:v>6</c:v>
                </c:pt>
                <c:pt idx="863">
                  <c:v>14</c:v>
                </c:pt>
                <c:pt idx="864">
                  <c:v>19</c:v>
                </c:pt>
                <c:pt idx="865">
                  <c:v>8</c:v>
                </c:pt>
                <c:pt idx="866">
                  <c:v>8</c:v>
                </c:pt>
                <c:pt idx="867">
                  <c:v>17</c:v>
                </c:pt>
                <c:pt idx="868">
                  <c:v>8</c:v>
                </c:pt>
                <c:pt idx="869">
                  <c:v>7</c:v>
                </c:pt>
                <c:pt idx="870">
                  <c:v>21</c:v>
                </c:pt>
                <c:pt idx="871">
                  <c:v>9</c:v>
                </c:pt>
                <c:pt idx="872">
                  <c:v>24</c:v>
                </c:pt>
                <c:pt idx="873">
                  <c:v>17</c:v>
                </c:pt>
                <c:pt idx="874">
                  <c:v>18</c:v>
                </c:pt>
                <c:pt idx="875">
                  <c:v>16</c:v>
                </c:pt>
                <c:pt idx="876">
                  <c:v>17</c:v>
                </c:pt>
                <c:pt idx="877">
                  <c:v>18</c:v>
                </c:pt>
                <c:pt idx="878">
                  <c:v>11</c:v>
                </c:pt>
                <c:pt idx="879">
                  <c:v>12</c:v>
                </c:pt>
                <c:pt idx="880">
                  <c:v>9</c:v>
                </c:pt>
                <c:pt idx="881">
                  <c:v>8</c:v>
                </c:pt>
                <c:pt idx="882">
                  <c:v>13</c:v>
                </c:pt>
                <c:pt idx="883">
                  <c:v>6</c:v>
                </c:pt>
                <c:pt idx="884">
                  <c:v>5</c:v>
                </c:pt>
                <c:pt idx="885">
                  <c:v>8</c:v>
                </c:pt>
                <c:pt idx="886">
                  <c:v>11</c:v>
                </c:pt>
                <c:pt idx="887">
                  <c:v>7</c:v>
                </c:pt>
                <c:pt idx="888">
                  <c:v>10</c:v>
                </c:pt>
                <c:pt idx="889">
                  <c:v>9</c:v>
                </c:pt>
                <c:pt idx="890">
                  <c:v>13</c:v>
                </c:pt>
                <c:pt idx="891">
                  <c:v>10</c:v>
                </c:pt>
                <c:pt idx="892">
                  <c:v>17</c:v>
                </c:pt>
                <c:pt idx="893">
                  <c:v>11</c:v>
                </c:pt>
                <c:pt idx="894">
                  <c:v>13</c:v>
                </c:pt>
                <c:pt idx="895">
                  <c:v>15</c:v>
                </c:pt>
                <c:pt idx="896">
                  <c:v>17</c:v>
                </c:pt>
                <c:pt idx="897">
                  <c:v>17</c:v>
                </c:pt>
                <c:pt idx="898">
                  <c:v>10</c:v>
                </c:pt>
                <c:pt idx="899">
                  <c:v>8</c:v>
                </c:pt>
                <c:pt idx="900">
                  <c:v>16</c:v>
                </c:pt>
                <c:pt idx="901">
                  <c:v>8</c:v>
                </c:pt>
                <c:pt idx="902">
                  <c:v>8</c:v>
                </c:pt>
                <c:pt idx="903">
                  <c:v>9</c:v>
                </c:pt>
                <c:pt idx="904">
                  <c:v>17</c:v>
                </c:pt>
                <c:pt idx="905">
                  <c:v>10</c:v>
                </c:pt>
                <c:pt idx="906">
                  <c:v>8</c:v>
                </c:pt>
                <c:pt idx="907">
                  <c:v>18</c:v>
                </c:pt>
                <c:pt idx="908">
                  <c:v>6</c:v>
                </c:pt>
                <c:pt idx="909">
                  <c:v>13</c:v>
                </c:pt>
                <c:pt idx="910">
                  <c:v>9</c:v>
                </c:pt>
                <c:pt idx="911">
                  <c:v>17</c:v>
                </c:pt>
                <c:pt idx="912">
                  <c:v>6</c:v>
                </c:pt>
                <c:pt idx="913">
                  <c:v>9</c:v>
                </c:pt>
                <c:pt idx="914">
                  <c:v>8</c:v>
                </c:pt>
                <c:pt idx="915">
                  <c:v>16</c:v>
                </c:pt>
                <c:pt idx="916">
                  <c:v>7</c:v>
                </c:pt>
                <c:pt idx="917">
                  <c:v>13</c:v>
                </c:pt>
                <c:pt idx="918">
                  <c:v>7</c:v>
                </c:pt>
                <c:pt idx="919">
                  <c:v>6</c:v>
                </c:pt>
                <c:pt idx="920">
                  <c:v>7</c:v>
                </c:pt>
                <c:pt idx="921">
                  <c:v>17</c:v>
                </c:pt>
                <c:pt idx="922">
                  <c:v>14</c:v>
                </c:pt>
                <c:pt idx="923">
                  <c:v>6</c:v>
                </c:pt>
                <c:pt idx="924">
                  <c:v>8</c:v>
                </c:pt>
                <c:pt idx="925">
                  <c:v>9</c:v>
                </c:pt>
                <c:pt idx="926">
                  <c:v>8</c:v>
                </c:pt>
                <c:pt idx="927">
                  <c:v>5</c:v>
                </c:pt>
                <c:pt idx="928">
                  <c:v>10</c:v>
                </c:pt>
                <c:pt idx="929">
                  <c:v>8</c:v>
                </c:pt>
                <c:pt idx="930">
                  <c:v>6</c:v>
                </c:pt>
                <c:pt idx="931">
                  <c:v>23</c:v>
                </c:pt>
                <c:pt idx="932">
                  <c:v>10</c:v>
                </c:pt>
                <c:pt idx="933">
                  <c:v>13</c:v>
                </c:pt>
                <c:pt idx="934">
                  <c:v>10</c:v>
                </c:pt>
                <c:pt idx="935">
                  <c:v>18</c:v>
                </c:pt>
                <c:pt idx="936">
                  <c:v>13</c:v>
                </c:pt>
                <c:pt idx="937">
                  <c:v>9</c:v>
                </c:pt>
                <c:pt idx="938">
                  <c:v>9</c:v>
                </c:pt>
                <c:pt idx="939">
                  <c:v>22</c:v>
                </c:pt>
                <c:pt idx="940">
                  <c:v>11</c:v>
                </c:pt>
                <c:pt idx="941">
                  <c:v>22</c:v>
                </c:pt>
                <c:pt idx="942">
                  <c:v>5</c:v>
                </c:pt>
                <c:pt idx="943">
                  <c:v>11</c:v>
                </c:pt>
                <c:pt idx="944">
                  <c:v>10</c:v>
                </c:pt>
                <c:pt idx="945">
                  <c:v>16</c:v>
                </c:pt>
                <c:pt idx="946">
                  <c:v>13</c:v>
                </c:pt>
                <c:pt idx="947">
                  <c:v>5</c:v>
                </c:pt>
                <c:pt idx="948">
                  <c:v>7</c:v>
                </c:pt>
                <c:pt idx="949">
                  <c:v>12</c:v>
                </c:pt>
                <c:pt idx="950">
                  <c:v>12</c:v>
                </c:pt>
                <c:pt idx="951">
                  <c:v>5</c:v>
                </c:pt>
                <c:pt idx="952">
                  <c:v>6</c:v>
                </c:pt>
                <c:pt idx="953">
                  <c:v>5</c:v>
                </c:pt>
                <c:pt idx="954">
                  <c:v>7</c:v>
                </c:pt>
                <c:pt idx="955">
                  <c:v>15</c:v>
                </c:pt>
                <c:pt idx="956">
                  <c:v>6</c:v>
                </c:pt>
                <c:pt idx="957">
                  <c:v>12</c:v>
                </c:pt>
                <c:pt idx="958">
                  <c:v>16</c:v>
                </c:pt>
                <c:pt idx="959">
                  <c:v>14</c:v>
                </c:pt>
                <c:pt idx="960">
                  <c:v>5</c:v>
                </c:pt>
                <c:pt idx="961">
                  <c:v>17</c:v>
                </c:pt>
                <c:pt idx="962">
                  <c:v>16</c:v>
                </c:pt>
                <c:pt idx="963">
                  <c:v>10</c:v>
                </c:pt>
                <c:pt idx="964">
                  <c:v>18</c:v>
                </c:pt>
                <c:pt idx="965">
                  <c:v>8</c:v>
                </c:pt>
                <c:pt idx="966">
                  <c:v>19</c:v>
                </c:pt>
                <c:pt idx="967">
                  <c:v>7</c:v>
                </c:pt>
                <c:pt idx="968">
                  <c:v>8</c:v>
                </c:pt>
                <c:pt idx="969">
                  <c:v>6</c:v>
                </c:pt>
                <c:pt idx="970">
                  <c:v>10</c:v>
                </c:pt>
                <c:pt idx="971">
                  <c:v>7</c:v>
                </c:pt>
                <c:pt idx="972">
                  <c:v>11</c:v>
                </c:pt>
                <c:pt idx="973">
                  <c:v>15</c:v>
                </c:pt>
                <c:pt idx="974">
                  <c:v>18</c:v>
                </c:pt>
                <c:pt idx="975">
                  <c:v>16</c:v>
                </c:pt>
                <c:pt idx="976">
                  <c:v>8</c:v>
                </c:pt>
                <c:pt idx="977">
                  <c:v>7</c:v>
                </c:pt>
                <c:pt idx="978">
                  <c:v>14</c:v>
                </c:pt>
                <c:pt idx="979">
                  <c:v>10</c:v>
                </c:pt>
                <c:pt idx="980">
                  <c:v>21</c:v>
                </c:pt>
                <c:pt idx="981">
                  <c:v>11</c:v>
                </c:pt>
                <c:pt idx="982">
                  <c:v>14</c:v>
                </c:pt>
                <c:pt idx="983">
                  <c:v>9</c:v>
                </c:pt>
                <c:pt idx="984">
                  <c:v>11</c:v>
                </c:pt>
                <c:pt idx="985">
                  <c:v>9</c:v>
                </c:pt>
                <c:pt idx="986">
                  <c:v>12</c:v>
                </c:pt>
                <c:pt idx="987">
                  <c:v>12</c:v>
                </c:pt>
                <c:pt idx="988">
                  <c:v>10</c:v>
                </c:pt>
                <c:pt idx="989">
                  <c:v>20</c:v>
                </c:pt>
                <c:pt idx="990">
                  <c:v>15</c:v>
                </c:pt>
                <c:pt idx="991">
                  <c:v>6</c:v>
                </c:pt>
                <c:pt idx="992">
                  <c:v>13</c:v>
                </c:pt>
                <c:pt idx="993">
                  <c:v>12</c:v>
                </c:pt>
                <c:pt idx="994">
                  <c:v>8</c:v>
                </c:pt>
                <c:pt idx="995">
                  <c:v>14</c:v>
                </c:pt>
                <c:pt idx="996">
                  <c:v>8</c:v>
                </c:pt>
                <c:pt idx="997">
                  <c:v>12</c:v>
                </c:pt>
                <c:pt idx="998">
                  <c:v>6</c:v>
                </c:pt>
                <c:pt idx="999">
                  <c:v>7</c:v>
                </c:pt>
                <c:pt idx="1000">
                  <c:v>12</c:v>
                </c:pt>
                <c:pt idx="1001">
                  <c:v>7</c:v>
                </c:pt>
                <c:pt idx="1002">
                  <c:v>16</c:v>
                </c:pt>
                <c:pt idx="1003">
                  <c:v>5</c:v>
                </c:pt>
                <c:pt idx="1004">
                  <c:v>6</c:v>
                </c:pt>
                <c:pt idx="1005">
                  <c:v>11</c:v>
                </c:pt>
                <c:pt idx="1006">
                  <c:v>10</c:v>
                </c:pt>
                <c:pt idx="1007">
                  <c:v>5</c:v>
                </c:pt>
                <c:pt idx="1008">
                  <c:v>8</c:v>
                </c:pt>
                <c:pt idx="1009">
                  <c:v>8</c:v>
                </c:pt>
                <c:pt idx="1010">
                  <c:v>10</c:v>
                </c:pt>
                <c:pt idx="1011">
                  <c:v>17</c:v>
                </c:pt>
                <c:pt idx="1012">
                  <c:v>16</c:v>
                </c:pt>
                <c:pt idx="1013">
                  <c:v>12</c:v>
                </c:pt>
                <c:pt idx="1014">
                  <c:v>12</c:v>
                </c:pt>
                <c:pt idx="1015">
                  <c:v>5</c:v>
                </c:pt>
                <c:pt idx="1016">
                  <c:v>10</c:v>
                </c:pt>
                <c:pt idx="1017">
                  <c:v>8</c:v>
                </c:pt>
                <c:pt idx="1018">
                  <c:v>7</c:v>
                </c:pt>
                <c:pt idx="1019">
                  <c:v>7</c:v>
                </c:pt>
                <c:pt idx="1020">
                  <c:v>7</c:v>
                </c:pt>
                <c:pt idx="1021">
                  <c:v>9</c:v>
                </c:pt>
                <c:pt idx="1022">
                  <c:v>9</c:v>
                </c:pt>
                <c:pt idx="1023">
                  <c:v>12</c:v>
                </c:pt>
                <c:pt idx="1024">
                  <c:v>18</c:v>
                </c:pt>
                <c:pt idx="1025">
                  <c:v>10</c:v>
                </c:pt>
                <c:pt idx="1026">
                  <c:v>7</c:v>
                </c:pt>
                <c:pt idx="1027">
                  <c:v>11</c:v>
                </c:pt>
                <c:pt idx="1028">
                  <c:v>13</c:v>
                </c:pt>
                <c:pt idx="1029">
                  <c:v>11</c:v>
                </c:pt>
                <c:pt idx="1030">
                  <c:v>8</c:v>
                </c:pt>
                <c:pt idx="1031">
                  <c:v>10</c:v>
                </c:pt>
                <c:pt idx="1032">
                  <c:v>11</c:v>
                </c:pt>
                <c:pt idx="1033">
                  <c:v>10</c:v>
                </c:pt>
                <c:pt idx="1034">
                  <c:v>10</c:v>
                </c:pt>
                <c:pt idx="1035">
                  <c:v>14</c:v>
                </c:pt>
                <c:pt idx="1036">
                  <c:v>23</c:v>
                </c:pt>
                <c:pt idx="1037">
                  <c:v>7</c:v>
                </c:pt>
                <c:pt idx="1038">
                  <c:v>16</c:v>
                </c:pt>
                <c:pt idx="1039">
                  <c:v>11</c:v>
                </c:pt>
                <c:pt idx="1040">
                  <c:v>14</c:v>
                </c:pt>
                <c:pt idx="1041">
                  <c:v>13</c:v>
                </c:pt>
                <c:pt idx="1042">
                  <c:v>12</c:v>
                </c:pt>
                <c:pt idx="1043">
                  <c:v>9</c:v>
                </c:pt>
                <c:pt idx="1044">
                  <c:v>12</c:v>
                </c:pt>
                <c:pt idx="1045">
                  <c:v>10</c:v>
                </c:pt>
                <c:pt idx="1046">
                  <c:v>16</c:v>
                </c:pt>
                <c:pt idx="1047">
                  <c:v>9</c:v>
                </c:pt>
                <c:pt idx="1048">
                  <c:v>12</c:v>
                </c:pt>
                <c:pt idx="1049">
                  <c:v>13</c:v>
                </c:pt>
                <c:pt idx="1050">
                  <c:v>6</c:v>
                </c:pt>
                <c:pt idx="1051">
                  <c:v>8</c:v>
                </c:pt>
                <c:pt idx="1052">
                  <c:v>20</c:v>
                </c:pt>
                <c:pt idx="1053">
                  <c:v>8</c:v>
                </c:pt>
                <c:pt idx="1054">
                  <c:v>14</c:v>
                </c:pt>
                <c:pt idx="1055">
                  <c:v>8</c:v>
                </c:pt>
                <c:pt idx="1056">
                  <c:v>11</c:v>
                </c:pt>
                <c:pt idx="1057">
                  <c:v>13</c:v>
                </c:pt>
                <c:pt idx="1058">
                  <c:v>12</c:v>
                </c:pt>
                <c:pt idx="1059">
                  <c:v>18</c:v>
                </c:pt>
                <c:pt idx="1060">
                  <c:v>12</c:v>
                </c:pt>
                <c:pt idx="1061">
                  <c:v>6</c:v>
                </c:pt>
                <c:pt idx="1062">
                  <c:v>8</c:v>
                </c:pt>
                <c:pt idx="1063">
                  <c:v>9</c:v>
                </c:pt>
                <c:pt idx="1064">
                  <c:v>10</c:v>
                </c:pt>
                <c:pt idx="1065">
                  <c:v>7</c:v>
                </c:pt>
                <c:pt idx="1066">
                  <c:v>5</c:v>
                </c:pt>
                <c:pt idx="1067">
                  <c:v>7</c:v>
                </c:pt>
                <c:pt idx="1068">
                  <c:v>24</c:v>
                </c:pt>
                <c:pt idx="1069">
                  <c:v>8</c:v>
                </c:pt>
                <c:pt idx="1070">
                  <c:v>24</c:v>
                </c:pt>
                <c:pt idx="1071">
                  <c:v>18</c:v>
                </c:pt>
                <c:pt idx="1072">
                  <c:v>21</c:v>
                </c:pt>
                <c:pt idx="1073">
                  <c:v>13</c:v>
                </c:pt>
                <c:pt idx="1074">
                  <c:v>18</c:v>
                </c:pt>
                <c:pt idx="1075">
                  <c:v>12</c:v>
                </c:pt>
                <c:pt idx="1076">
                  <c:v>7</c:v>
                </c:pt>
                <c:pt idx="1077">
                  <c:v>7</c:v>
                </c:pt>
                <c:pt idx="1078">
                  <c:v>12</c:v>
                </c:pt>
                <c:pt idx="1079">
                  <c:v>12</c:v>
                </c:pt>
                <c:pt idx="1080">
                  <c:v>9</c:v>
                </c:pt>
                <c:pt idx="1081">
                  <c:v>5</c:v>
                </c:pt>
                <c:pt idx="1082">
                  <c:v>10</c:v>
                </c:pt>
                <c:pt idx="1083">
                  <c:v>11</c:v>
                </c:pt>
                <c:pt idx="1084">
                  <c:v>7</c:v>
                </c:pt>
                <c:pt idx="1085">
                  <c:v>10</c:v>
                </c:pt>
                <c:pt idx="1086">
                  <c:v>8</c:v>
                </c:pt>
                <c:pt idx="1087">
                  <c:v>6</c:v>
                </c:pt>
                <c:pt idx="1088">
                  <c:v>6</c:v>
                </c:pt>
                <c:pt idx="1089">
                  <c:v>12</c:v>
                </c:pt>
                <c:pt idx="1090">
                  <c:v>9</c:v>
                </c:pt>
                <c:pt idx="1091">
                  <c:v>6</c:v>
                </c:pt>
                <c:pt idx="1092">
                  <c:v>6</c:v>
                </c:pt>
                <c:pt idx="1093">
                  <c:v>8</c:v>
                </c:pt>
                <c:pt idx="1094">
                  <c:v>18</c:v>
                </c:pt>
                <c:pt idx="1095">
                  <c:v>12</c:v>
                </c:pt>
                <c:pt idx="1096">
                  <c:v>11</c:v>
                </c:pt>
                <c:pt idx="1097">
                  <c:v>8</c:v>
                </c:pt>
                <c:pt idx="1098">
                  <c:v>16</c:v>
                </c:pt>
                <c:pt idx="1099">
                  <c:v>12</c:v>
                </c:pt>
                <c:pt idx="1100">
                  <c:v>8</c:v>
                </c:pt>
                <c:pt idx="1101">
                  <c:v>9</c:v>
                </c:pt>
                <c:pt idx="1102">
                  <c:v>13</c:v>
                </c:pt>
                <c:pt idx="1103">
                  <c:v>14</c:v>
                </c:pt>
                <c:pt idx="1104">
                  <c:v>10</c:v>
                </c:pt>
                <c:pt idx="1105">
                  <c:v>8</c:v>
                </c:pt>
                <c:pt idx="1106">
                  <c:v>7</c:v>
                </c:pt>
                <c:pt idx="1107">
                  <c:v>15</c:v>
                </c:pt>
                <c:pt idx="1108">
                  <c:v>10</c:v>
                </c:pt>
                <c:pt idx="1109">
                  <c:v>7</c:v>
                </c:pt>
                <c:pt idx="1110">
                  <c:v>13</c:v>
                </c:pt>
                <c:pt idx="1111">
                  <c:v>16</c:v>
                </c:pt>
                <c:pt idx="1112">
                  <c:v>10</c:v>
                </c:pt>
                <c:pt idx="1113">
                  <c:v>13</c:v>
                </c:pt>
                <c:pt idx="1114">
                  <c:v>14</c:v>
                </c:pt>
                <c:pt idx="1115">
                  <c:v>15</c:v>
                </c:pt>
                <c:pt idx="1116">
                  <c:v>5</c:v>
                </c:pt>
                <c:pt idx="1117">
                  <c:v>10</c:v>
                </c:pt>
                <c:pt idx="1118">
                  <c:v>6</c:v>
                </c:pt>
                <c:pt idx="1119">
                  <c:v>7</c:v>
                </c:pt>
                <c:pt idx="1120">
                  <c:v>12</c:v>
                </c:pt>
                <c:pt idx="1121">
                  <c:v>10</c:v>
                </c:pt>
                <c:pt idx="1122">
                  <c:v>6</c:v>
                </c:pt>
                <c:pt idx="1123">
                  <c:v>13</c:v>
                </c:pt>
                <c:pt idx="1124">
                  <c:v>7</c:v>
                </c:pt>
                <c:pt idx="1125">
                  <c:v>9</c:v>
                </c:pt>
                <c:pt idx="1126">
                  <c:v>10</c:v>
                </c:pt>
                <c:pt idx="1127">
                  <c:v>6</c:v>
                </c:pt>
                <c:pt idx="1128">
                  <c:v>9</c:v>
                </c:pt>
                <c:pt idx="1129">
                  <c:v>8</c:v>
                </c:pt>
                <c:pt idx="1130">
                  <c:v>17</c:v>
                </c:pt>
                <c:pt idx="1131">
                  <c:v>9</c:v>
                </c:pt>
                <c:pt idx="1132">
                  <c:v>10</c:v>
                </c:pt>
                <c:pt idx="1133">
                  <c:v>12</c:v>
                </c:pt>
                <c:pt idx="1134">
                  <c:v>14</c:v>
                </c:pt>
                <c:pt idx="1135">
                  <c:v>12</c:v>
                </c:pt>
                <c:pt idx="1136">
                  <c:v>10</c:v>
                </c:pt>
              </c:numCache>
            </c:numRef>
          </c:xVal>
          <c:yVal>
            <c:numRef>
              <c:f>'#of logs'!$H$7:$H$1143</c:f>
              <c:numCache>
                <c:formatCode>_(* #,##0_);_(* \(#,##0\);_(* "-"??_);_(@_)</c:formatCode>
                <c:ptCount val="1137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4</c:v>
                </c:pt>
                <c:pt idx="14">
                  <c:v>3</c:v>
                </c:pt>
                <c:pt idx="15">
                  <c:v>1</c:v>
                </c:pt>
                <c:pt idx="16">
                  <c:v>3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3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3</c:v>
                </c:pt>
                <c:pt idx="31">
                  <c:v>2</c:v>
                </c:pt>
                <c:pt idx="32">
                  <c:v>3</c:v>
                </c:pt>
                <c:pt idx="33">
                  <c:v>2</c:v>
                </c:pt>
                <c:pt idx="34">
                  <c:v>1</c:v>
                </c:pt>
                <c:pt idx="35">
                  <c:v>3</c:v>
                </c:pt>
                <c:pt idx="36">
                  <c:v>1</c:v>
                </c:pt>
                <c:pt idx="37">
                  <c:v>3</c:v>
                </c:pt>
                <c:pt idx="38">
                  <c:v>3</c:v>
                </c:pt>
                <c:pt idx="39">
                  <c:v>2</c:v>
                </c:pt>
                <c:pt idx="40">
                  <c:v>4</c:v>
                </c:pt>
                <c:pt idx="41">
                  <c:v>4</c:v>
                </c:pt>
                <c:pt idx="42">
                  <c:v>3</c:v>
                </c:pt>
                <c:pt idx="43">
                  <c:v>3</c:v>
                </c:pt>
                <c:pt idx="44">
                  <c:v>1</c:v>
                </c:pt>
                <c:pt idx="45">
                  <c:v>2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4</c:v>
                </c:pt>
                <c:pt idx="52">
                  <c:v>3</c:v>
                </c:pt>
                <c:pt idx="53">
                  <c:v>1</c:v>
                </c:pt>
                <c:pt idx="54">
                  <c:v>2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3</c:v>
                </c:pt>
                <c:pt idx="67">
                  <c:v>1</c:v>
                </c:pt>
                <c:pt idx="68">
                  <c:v>2</c:v>
                </c:pt>
                <c:pt idx="69">
                  <c:v>2</c:v>
                </c:pt>
                <c:pt idx="70">
                  <c:v>1</c:v>
                </c:pt>
                <c:pt idx="71">
                  <c:v>2</c:v>
                </c:pt>
                <c:pt idx="72">
                  <c:v>1</c:v>
                </c:pt>
                <c:pt idx="73">
                  <c:v>3</c:v>
                </c:pt>
                <c:pt idx="74">
                  <c:v>2</c:v>
                </c:pt>
                <c:pt idx="75">
                  <c:v>2</c:v>
                </c:pt>
                <c:pt idx="76">
                  <c:v>3</c:v>
                </c:pt>
                <c:pt idx="77">
                  <c:v>1</c:v>
                </c:pt>
                <c:pt idx="78">
                  <c:v>2</c:v>
                </c:pt>
                <c:pt idx="79">
                  <c:v>1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1</c:v>
                </c:pt>
                <c:pt idx="85">
                  <c:v>2</c:v>
                </c:pt>
                <c:pt idx="86">
                  <c:v>3</c:v>
                </c:pt>
                <c:pt idx="87">
                  <c:v>1</c:v>
                </c:pt>
                <c:pt idx="88">
                  <c:v>1</c:v>
                </c:pt>
                <c:pt idx="89">
                  <c:v>2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1</c:v>
                </c:pt>
                <c:pt idx="94">
                  <c:v>1</c:v>
                </c:pt>
                <c:pt idx="95">
                  <c:v>2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2</c:v>
                </c:pt>
                <c:pt idx="100">
                  <c:v>2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3</c:v>
                </c:pt>
                <c:pt idx="105">
                  <c:v>1</c:v>
                </c:pt>
                <c:pt idx="106">
                  <c:v>3</c:v>
                </c:pt>
                <c:pt idx="107">
                  <c:v>4</c:v>
                </c:pt>
                <c:pt idx="108">
                  <c:v>2</c:v>
                </c:pt>
                <c:pt idx="109">
                  <c:v>4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1</c:v>
                </c:pt>
                <c:pt idx="114">
                  <c:v>1</c:v>
                </c:pt>
                <c:pt idx="115">
                  <c:v>2</c:v>
                </c:pt>
                <c:pt idx="116">
                  <c:v>3</c:v>
                </c:pt>
                <c:pt idx="117">
                  <c:v>1</c:v>
                </c:pt>
                <c:pt idx="118">
                  <c:v>1</c:v>
                </c:pt>
                <c:pt idx="119">
                  <c:v>3</c:v>
                </c:pt>
                <c:pt idx="120">
                  <c:v>3</c:v>
                </c:pt>
                <c:pt idx="121">
                  <c:v>2</c:v>
                </c:pt>
                <c:pt idx="122">
                  <c:v>3</c:v>
                </c:pt>
                <c:pt idx="123">
                  <c:v>3</c:v>
                </c:pt>
                <c:pt idx="124">
                  <c:v>2</c:v>
                </c:pt>
                <c:pt idx="125">
                  <c:v>2</c:v>
                </c:pt>
                <c:pt idx="126">
                  <c:v>1</c:v>
                </c:pt>
                <c:pt idx="127">
                  <c:v>4</c:v>
                </c:pt>
                <c:pt idx="128">
                  <c:v>3</c:v>
                </c:pt>
                <c:pt idx="129">
                  <c:v>1</c:v>
                </c:pt>
                <c:pt idx="130">
                  <c:v>4</c:v>
                </c:pt>
                <c:pt idx="131">
                  <c:v>1</c:v>
                </c:pt>
                <c:pt idx="132">
                  <c:v>2</c:v>
                </c:pt>
                <c:pt idx="133">
                  <c:v>4</c:v>
                </c:pt>
                <c:pt idx="134">
                  <c:v>2</c:v>
                </c:pt>
                <c:pt idx="135">
                  <c:v>2</c:v>
                </c:pt>
                <c:pt idx="136">
                  <c:v>4</c:v>
                </c:pt>
                <c:pt idx="137">
                  <c:v>4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3</c:v>
                </c:pt>
                <c:pt idx="144">
                  <c:v>1</c:v>
                </c:pt>
                <c:pt idx="145">
                  <c:v>2</c:v>
                </c:pt>
                <c:pt idx="146">
                  <c:v>1</c:v>
                </c:pt>
                <c:pt idx="147">
                  <c:v>2</c:v>
                </c:pt>
                <c:pt idx="148">
                  <c:v>2</c:v>
                </c:pt>
                <c:pt idx="149">
                  <c:v>1</c:v>
                </c:pt>
                <c:pt idx="150">
                  <c:v>4</c:v>
                </c:pt>
                <c:pt idx="151">
                  <c:v>1</c:v>
                </c:pt>
                <c:pt idx="152">
                  <c:v>2</c:v>
                </c:pt>
                <c:pt idx="153">
                  <c:v>2</c:v>
                </c:pt>
                <c:pt idx="154">
                  <c:v>3</c:v>
                </c:pt>
                <c:pt idx="155">
                  <c:v>4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2</c:v>
                </c:pt>
                <c:pt idx="160">
                  <c:v>1</c:v>
                </c:pt>
                <c:pt idx="161">
                  <c:v>2</c:v>
                </c:pt>
                <c:pt idx="162">
                  <c:v>1</c:v>
                </c:pt>
                <c:pt idx="163">
                  <c:v>3</c:v>
                </c:pt>
                <c:pt idx="164">
                  <c:v>3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2</c:v>
                </c:pt>
                <c:pt idx="170">
                  <c:v>1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1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3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3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3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3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2</c:v>
                </c:pt>
                <c:pt idx="200">
                  <c:v>3</c:v>
                </c:pt>
                <c:pt idx="201">
                  <c:v>3</c:v>
                </c:pt>
                <c:pt idx="202">
                  <c:v>0</c:v>
                </c:pt>
                <c:pt idx="203">
                  <c:v>3</c:v>
                </c:pt>
                <c:pt idx="204">
                  <c:v>2</c:v>
                </c:pt>
                <c:pt idx="205">
                  <c:v>1</c:v>
                </c:pt>
                <c:pt idx="206">
                  <c:v>3</c:v>
                </c:pt>
                <c:pt idx="207">
                  <c:v>2</c:v>
                </c:pt>
                <c:pt idx="208">
                  <c:v>2</c:v>
                </c:pt>
                <c:pt idx="209">
                  <c:v>3</c:v>
                </c:pt>
                <c:pt idx="210">
                  <c:v>3</c:v>
                </c:pt>
                <c:pt idx="211">
                  <c:v>1</c:v>
                </c:pt>
                <c:pt idx="212">
                  <c:v>2</c:v>
                </c:pt>
                <c:pt idx="213">
                  <c:v>3</c:v>
                </c:pt>
                <c:pt idx="214">
                  <c:v>3</c:v>
                </c:pt>
                <c:pt idx="215">
                  <c:v>1</c:v>
                </c:pt>
                <c:pt idx="216">
                  <c:v>3</c:v>
                </c:pt>
                <c:pt idx="217">
                  <c:v>2</c:v>
                </c:pt>
                <c:pt idx="218">
                  <c:v>2</c:v>
                </c:pt>
                <c:pt idx="219">
                  <c:v>3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3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1</c:v>
                </c:pt>
                <c:pt idx="237">
                  <c:v>1</c:v>
                </c:pt>
                <c:pt idx="238">
                  <c:v>0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1</c:v>
                </c:pt>
                <c:pt idx="244">
                  <c:v>2</c:v>
                </c:pt>
                <c:pt idx="245">
                  <c:v>3</c:v>
                </c:pt>
                <c:pt idx="246">
                  <c:v>2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1</c:v>
                </c:pt>
                <c:pt idx="252">
                  <c:v>3</c:v>
                </c:pt>
                <c:pt idx="253">
                  <c:v>2</c:v>
                </c:pt>
                <c:pt idx="254">
                  <c:v>2</c:v>
                </c:pt>
                <c:pt idx="255">
                  <c:v>3</c:v>
                </c:pt>
                <c:pt idx="256">
                  <c:v>2</c:v>
                </c:pt>
                <c:pt idx="257">
                  <c:v>2</c:v>
                </c:pt>
                <c:pt idx="258">
                  <c:v>3</c:v>
                </c:pt>
                <c:pt idx="259">
                  <c:v>2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3</c:v>
                </c:pt>
                <c:pt idx="265">
                  <c:v>2</c:v>
                </c:pt>
                <c:pt idx="266">
                  <c:v>2</c:v>
                </c:pt>
                <c:pt idx="267">
                  <c:v>1</c:v>
                </c:pt>
                <c:pt idx="268">
                  <c:v>2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1</c:v>
                </c:pt>
                <c:pt idx="274">
                  <c:v>1</c:v>
                </c:pt>
                <c:pt idx="275">
                  <c:v>2</c:v>
                </c:pt>
                <c:pt idx="276">
                  <c:v>3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2</c:v>
                </c:pt>
                <c:pt idx="282">
                  <c:v>1</c:v>
                </c:pt>
                <c:pt idx="283">
                  <c:v>2</c:v>
                </c:pt>
                <c:pt idx="284">
                  <c:v>1</c:v>
                </c:pt>
                <c:pt idx="285">
                  <c:v>2</c:v>
                </c:pt>
                <c:pt idx="286">
                  <c:v>2</c:v>
                </c:pt>
                <c:pt idx="287">
                  <c:v>2</c:v>
                </c:pt>
                <c:pt idx="288">
                  <c:v>2</c:v>
                </c:pt>
                <c:pt idx="289">
                  <c:v>2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2</c:v>
                </c:pt>
                <c:pt idx="294">
                  <c:v>2</c:v>
                </c:pt>
                <c:pt idx="295">
                  <c:v>3</c:v>
                </c:pt>
                <c:pt idx="296">
                  <c:v>1</c:v>
                </c:pt>
                <c:pt idx="297">
                  <c:v>2</c:v>
                </c:pt>
                <c:pt idx="298">
                  <c:v>4</c:v>
                </c:pt>
                <c:pt idx="299">
                  <c:v>1</c:v>
                </c:pt>
                <c:pt idx="300">
                  <c:v>3</c:v>
                </c:pt>
                <c:pt idx="301">
                  <c:v>1</c:v>
                </c:pt>
                <c:pt idx="302">
                  <c:v>1</c:v>
                </c:pt>
                <c:pt idx="303">
                  <c:v>4</c:v>
                </c:pt>
                <c:pt idx="304">
                  <c:v>3</c:v>
                </c:pt>
                <c:pt idx="305">
                  <c:v>2</c:v>
                </c:pt>
                <c:pt idx="306">
                  <c:v>2</c:v>
                </c:pt>
                <c:pt idx="307">
                  <c:v>3</c:v>
                </c:pt>
                <c:pt idx="308">
                  <c:v>2</c:v>
                </c:pt>
                <c:pt idx="309">
                  <c:v>3</c:v>
                </c:pt>
                <c:pt idx="310">
                  <c:v>2</c:v>
                </c:pt>
                <c:pt idx="311">
                  <c:v>2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3</c:v>
                </c:pt>
                <c:pt idx="316">
                  <c:v>4</c:v>
                </c:pt>
                <c:pt idx="317">
                  <c:v>2</c:v>
                </c:pt>
                <c:pt idx="318">
                  <c:v>1</c:v>
                </c:pt>
                <c:pt idx="319">
                  <c:v>1</c:v>
                </c:pt>
                <c:pt idx="320">
                  <c:v>3</c:v>
                </c:pt>
                <c:pt idx="321">
                  <c:v>3</c:v>
                </c:pt>
                <c:pt idx="322">
                  <c:v>3</c:v>
                </c:pt>
                <c:pt idx="323">
                  <c:v>3</c:v>
                </c:pt>
                <c:pt idx="324">
                  <c:v>3</c:v>
                </c:pt>
                <c:pt idx="325">
                  <c:v>1</c:v>
                </c:pt>
                <c:pt idx="326">
                  <c:v>3</c:v>
                </c:pt>
                <c:pt idx="327">
                  <c:v>1</c:v>
                </c:pt>
                <c:pt idx="328">
                  <c:v>3</c:v>
                </c:pt>
                <c:pt idx="329">
                  <c:v>2</c:v>
                </c:pt>
                <c:pt idx="330">
                  <c:v>2</c:v>
                </c:pt>
                <c:pt idx="331">
                  <c:v>2</c:v>
                </c:pt>
                <c:pt idx="332">
                  <c:v>2</c:v>
                </c:pt>
                <c:pt idx="333">
                  <c:v>2</c:v>
                </c:pt>
                <c:pt idx="334">
                  <c:v>3</c:v>
                </c:pt>
                <c:pt idx="335">
                  <c:v>3</c:v>
                </c:pt>
                <c:pt idx="336">
                  <c:v>3</c:v>
                </c:pt>
                <c:pt idx="337">
                  <c:v>3</c:v>
                </c:pt>
                <c:pt idx="338">
                  <c:v>2</c:v>
                </c:pt>
                <c:pt idx="339">
                  <c:v>3</c:v>
                </c:pt>
                <c:pt idx="340">
                  <c:v>2</c:v>
                </c:pt>
                <c:pt idx="341">
                  <c:v>2</c:v>
                </c:pt>
                <c:pt idx="342">
                  <c:v>4</c:v>
                </c:pt>
                <c:pt idx="343">
                  <c:v>2</c:v>
                </c:pt>
                <c:pt idx="344">
                  <c:v>4</c:v>
                </c:pt>
                <c:pt idx="345">
                  <c:v>3</c:v>
                </c:pt>
                <c:pt idx="346">
                  <c:v>3</c:v>
                </c:pt>
                <c:pt idx="347">
                  <c:v>2</c:v>
                </c:pt>
                <c:pt idx="348">
                  <c:v>1</c:v>
                </c:pt>
                <c:pt idx="349">
                  <c:v>3</c:v>
                </c:pt>
                <c:pt idx="350">
                  <c:v>3</c:v>
                </c:pt>
                <c:pt idx="351">
                  <c:v>3</c:v>
                </c:pt>
                <c:pt idx="352">
                  <c:v>4</c:v>
                </c:pt>
                <c:pt idx="353">
                  <c:v>2</c:v>
                </c:pt>
                <c:pt idx="354">
                  <c:v>4</c:v>
                </c:pt>
                <c:pt idx="355">
                  <c:v>2</c:v>
                </c:pt>
                <c:pt idx="356">
                  <c:v>3</c:v>
                </c:pt>
                <c:pt idx="357">
                  <c:v>4</c:v>
                </c:pt>
                <c:pt idx="358">
                  <c:v>3</c:v>
                </c:pt>
                <c:pt idx="359">
                  <c:v>3</c:v>
                </c:pt>
                <c:pt idx="360">
                  <c:v>2</c:v>
                </c:pt>
                <c:pt idx="361">
                  <c:v>3</c:v>
                </c:pt>
                <c:pt idx="362">
                  <c:v>3</c:v>
                </c:pt>
                <c:pt idx="363">
                  <c:v>3</c:v>
                </c:pt>
                <c:pt idx="364">
                  <c:v>2</c:v>
                </c:pt>
                <c:pt idx="365">
                  <c:v>3</c:v>
                </c:pt>
                <c:pt idx="366">
                  <c:v>2</c:v>
                </c:pt>
                <c:pt idx="367">
                  <c:v>5</c:v>
                </c:pt>
                <c:pt idx="368">
                  <c:v>3</c:v>
                </c:pt>
                <c:pt idx="369">
                  <c:v>1</c:v>
                </c:pt>
                <c:pt idx="370">
                  <c:v>1</c:v>
                </c:pt>
                <c:pt idx="371">
                  <c:v>2</c:v>
                </c:pt>
                <c:pt idx="372">
                  <c:v>2</c:v>
                </c:pt>
                <c:pt idx="373">
                  <c:v>3</c:v>
                </c:pt>
                <c:pt idx="374">
                  <c:v>3</c:v>
                </c:pt>
                <c:pt idx="375">
                  <c:v>2</c:v>
                </c:pt>
                <c:pt idx="376">
                  <c:v>2</c:v>
                </c:pt>
                <c:pt idx="377">
                  <c:v>4</c:v>
                </c:pt>
                <c:pt idx="378">
                  <c:v>1</c:v>
                </c:pt>
                <c:pt idx="379">
                  <c:v>3</c:v>
                </c:pt>
                <c:pt idx="380">
                  <c:v>3</c:v>
                </c:pt>
                <c:pt idx="381">
                  <c:v>4</c:v>
                </c:pt>
                <c:pt idx="382">
                  <c:v>3</c:v>
                </c:pt>
                <c:pt idx="383">
                  <c:v>3</c:v>
                </c:pt>
                <c:pt idx="384">
                  <c:v>3</c:v>
                </c:pt>
                <c:pt idx="385">
                  <c:v>2</c:v>
                </c:pt>
                <c:pt idx="386">
                  <c:v>1</c:v>
                </c:pt>
                <c:pt idx="387">
                  <c:v>2</c:v>
                </c:pt>
                <c:pt idx="388">
                  <c:v>4</c:v>
                </c:pt>
                <c:pt idx="389">
                  <c:v>4</c:v>
                </c:pt>
                <c:pt idx="390">
                  <c:v>4</c:v>
                </c:pt>
                <c:pt idx="391">
                  <c:v>3</c:v>
                </c:pt>
                <c:pt idx="392">
                  <c:v>1</c:v>
                </c:pt>
                <c:pt idx="393">
                  <c:v>4</c:v>
                </c:pt>
                <c:pt idx="394">
                  <c:v>3</c:v>
                </c:pt>
                <c:pt idx="395">
                  <c:v>3</c:v>
                </c:pt>
                <c:pt idx="396">
                  <c:v>3</c:v>
                </c:pt>
                <c:pt idx="397">
                  <c:v>4</c:v>
                </c:pt>
                <c:pt idx="398">
                  <c:v>1</c:v>
                </c:pt>
                <c:pt idx="399">
                  <c:v>2</c:v>
                </c:pt>
                <c:pt idx="400">
                  <c:v>1</c:v>
                </c:pt>
                <c:pt idx="401">
                  <c:v>2</c:v>
                </c:pt>
                <c:pt idx="402">
                  <c:v>3</c:v>
                </c:pt>
                <c:pt idx="403">
                  <c:v>1</c:v>
                </c:pt>
                <c:pt idx="404">
                  <c:v>1</c:v>
                </c:pt>
                <c:pt idx="405">
                  <c:v>2</c:v>
                </c:pt>
                <c:pt idx="406">
                  <c:v>1</c:v>
                </c:pt>
                <c:pt idx="407">
                  <c:v>2</c:v>
                </c:pt>
                <c:pt idx="408">
                  <c:v>2</c:v>
                </c:pt>
                <c:pt idx="409">
                  <c:v>3</c:v>
                </c:pt>
                <c:pt idx="410">
                  <c:v>2</c:v>
                </c:pt>
                <c:pt idx="411">
                  <c:v>2</c:v>
                </c:pt>
                <c:pt idx="412">
                  <c:v>3</c:v>
                </c:pt>
                <c:pt idx="413">
                  <c:v>2</c:v>
                </c:pt>
                <c:pt idx="414">
                  <c:v>4</c:v>
                </c:pt>
                <c:pt idx="415">
                  <c:v>2</c:v>
                </c:pt>
                <c:pt idx="416">
                  <c:v>3</c:v>
                </c:pt>
                <c:pt idx="417">
                  <c:v>4</c:v>
                </c:pt>
                <c:pt idx="418">
                  <c:v>3</c:v>
                </c:pt>
                <c:pt idx="419">
                  <c:v>3</c:v>
                </c:pt>
                <c:pt idx="420">
                  <c:v>3</c:v>
                </c:pt>
                <c:pt idx="421">
                  <c:v>3</c:v>
                </c:pt>
                <c:pt idx="422">
                  <c:v>3</c:v>
                </c:pt>
                <c:pt idx="423">
                  <c:v>3</c:v>
                </c:pt>
                <c:pt idx="424">
                  <c:v>4</c:v>
                </c:pt>
                <c:pt idx="425">
                  <c:v>3</c:v>
                </c:pt>
                <c:pt idx="426">
                  <c:v>3</c:v>
                </c:pt>
                <c:pt idx="427">
                  <c:v>1</c:v>
                </c:pt>
                <c:pt idx="428">
                  <c:v>4</c:v>
                </c:pt>
                <c:pt idx="429">
                  <c:v>2</c:v>
                </c:pt>
                <c:pt idx="430">
                  <c:v>3</c:v>
                </c:pt>
                <c:pt idx="431">
                  <c:v>1</c:v>
                </c:pt>
                <c:pt idx="432">
                  <c:v>3</c:v>
                </c:pt>
                <c:pt idx="433">
                  <c:v>3</c:v>
                </c:pt>
                <c:pt idx="434">
                  <c:v>4</c:v>
                </c:pt>
                <c:pt idx="435">
                  <c:v>5</c:v>
                </c:pt>
                <c:pt idx="436">
                  <c:v>4</c:v>
                </c:pt>
                <c:pt idx="437">
                  <c:v>3</c:v>
                </c:pt>
                <c:pt idx="438">
                  <c:v>3</c:v>
                </c:pt>
                <c:pt idx="439">
                  <c:v>3</c:v>
                </c:pt>
                <c:pt idx="440">
                  <c:v>4</c:v>
                </c:pt>
                <c:pt idx="441">
                  <c:v>4</c:v>
                </c:pt>
                <c:pt idx="442">
                  <c:v>1</c:v>
                </c:pt>
                <c:pt idx="443">
                  <c:v>5</c:v>
                </c:pt>
                <c:pt idx="444">
                  <c:v>4</c:v>
                </c:pt>
                <c:pt idx="445">
                  <c:v>3</c:v>
                </c:pt>
                <c:pt idx="446">
                  <c:v>3</c:v>
                </c:pt>
                <c:pt idx="447">
                  <c:v>3</c:v>
                </c:pt>
                <c:pt idx="448">
                  <c:v>1</c:v>
                </c:pt>
                <c:pt idx="449">
                  <c:v>3</c:v>
                </c:pt>
                <c:pt idx="450">
                  <c:v>2</c:v>
                </c:pt>
                <c:pt idx="451">
                  <c:v>4</c:v>
                </c:pt>
                <c:pt idx="452">
                  <c:v>3</c:v>
                </c:pt>
                <c:pt idx="453">
                  <c:v>1</c:v>
                </c:pt>
                <c:pt idx="454">
                  <c:v>2</c:v>
                </c:pt>
                <c:pt idx="455">
                  <c:v>2</c:v>
                </c:pt>
                <c:pt idx="456">
                  <c:v>3</c:v>
                </c:pt>
                <c:pt idx="457">
                  <c:v>4</c:v>
                </c:pt>
                <c:pt idx="458">
                  <c:v>3</c:v>
                </c:pt>
                <c:pt idx="459">
                  <c:v>4</c:v>
                </c:pt>
                <c:pt idx="460">
                  <c:v>4</c:v>
                </c:pt>
                <c:pt idx="461">
                  <c:v>3</c:v>
                </c:pt>
                <c:pt idx="462">
                  <c:v>3</c:v>
                </c:pt>
                <c:pt idx="463">
                  <c:v>4</c:v>
                </c:pt>
                <c:pt idx="464">
                  <c:v>4</c:v>
                </c:pt>
                <c:pt idx="465">
                  <c:v>1</c:v>
                </c:pt>
                <c:pt idx="466">
                  <c:v>1</c:v>
                </c:pt>
                <c:pt idx="467">
                  <c:v>3</c:v>
                </c:pt>
                <c:pt idx="468">
                  <c:v>2</c:v>
                </c:pt>
                <c:pt idx="469">
                  <c:v>2</c:v>
                </c:pt>
                <c:pt idx="470">
                  <c:v>2</c:v>
                </c:pt>
                <c:pt idx="471">
                  <c:v>1</c:v>
                </c:pt>
                <c:pt idx="472">
                  <c:v>3</c:v>
                </c:pt>
                <c:pt idx="473">
                  <c:v>5</c:v>
                </c:pt>
                <c:pt idx="474">
                  <c:v>2</c:v>
                </c:pt>
                <c:pt idx="475">
                  <c:v>5</c:v>
                </c:pt>
                <c:pt idx="476">
                  <c:v>3</c:v>
                </c:pt>
                <c:pt idx="477">
                  <c:v>1</c:v>
                </c:pt>
                <c:pt idx="478">
                  <c:v>1</c:v>
                </c:pt>
                <c:pt idx="479">
                  <c:v>4</c:v>
                </c:pt>
                <c:pt idx="480">
                  <c:v>2</c:v>
                </c:pt>
                <c:pt idx="481">
                  <c:v>1</c:v>
                </c:pt>
                <c:pt idx="482">
                  <c:v>1</c:v>
                </c:pt>
                <c:pt idx="483">
                  <c:v>2</c:v>
                </c:pt>
                <c:pt idx="484">
                  <c:v>3</c:v>
                </c:pt>
                <c:pt idx="485">
                  <c:v>1</c:v>
                </c:pt>
                <c:pt idx="486">
                  <c:v>2</c:v>
                </c:pt>
                <c:pt idx="487">
                  <c:v>4</c:v>
                </c:pt>
                <c:pt idx="488">
                  <c:v>4</c:v>
                </c:pt>
                <c:pt idx="489">
                  <c:v>2</c:v>
                </c:pt>
                <c:pt idx="490">
                  <c:v>2</c:v>
                </c:pt>
                <c:pt idx="491">
                  <c:v>4</c:v>
                </c:pt>
                <c:pt idx="492">
                  <c:v>3</c:v>
                </c:pt>
                <c:pt idx="493">
                  <c:v>2</c:v>
                </c:pt>
                <c:pt idx="494">
                  <c:v>3</c:v>
                </c:pt>
                <c:pt idx="495">
                  <c:v>1</c:v>
                </c:pt>
                <c:pt idx="496">
                  <c:v>1</c:v>
                </c:pt>
                <c:pt idx="497">
                  <c:v>3</c:v>
                </c:pt>
                <c:pt idx="498">
                  <c:v>3</c:v>
                </c:pt>
                <c:pt idx="499">
                  <c:v>3</c:v>
                </c:pt>
                <c:pt idx="500">
                  <c:v>2</c:v>
                </c:pt>
                <c:pt idx="501">
                  <c:v>3</c:v>
                </c:pt>
                <c:pt idx="502">
                  <c:v>2</c:v>
                </c:pt>
                <c:pt idx="503">
                  <c:v>3</c:v>
                </c:pt>
                <c:pt idx="504">
                  <c:v>2</c:v>
                </c:pt>
                <c:pt idx="505">
                  <c:v>2</c:v>
                </c:pt>
                <c:pt idx="506">
                  <c:v>2</c:v>
                </c:pt>
                <c:pt idx="507">
                  <c:v>3</c:v>
                </c:pt>
                <c:pt idx="508">
                  <c:v>2</c:v>
                </c:pt>
                <c:pt idx="509">
                  <c:v>1</c:v>
                </c:pt>
                <c:pt idx="510">
                  <c:v>3</c:v>
                </c:pt>
                <c:pt idx="511">
                  <c:v>3</c:v>
                </c:pt>
                <c:pt idx="512">
                  <c:v>2</c:v>
                </c:pt>
                <c:pt idx="513">
                  <c:v>3</c:v>
                </c:pt>
                <c:pt idx="514">
                  <c:v>2</c:v>
                </c:pt>
                <c:pt idx="515">
                  <c:v>2</c:v>
                </c:pt>
                <c:pt idx="516">
                  <c:v>3</c:v>
                </c:pt>
                <c:pt idx="517">
                  <c:v>3</c:v>
                </c:pt>
                <c:pt idx="518">
                  <c:v>2</c:v>
                </c:pt>
                <c:pt idx="519">
                  <c:v>1</c:v>
                </c:pt>
                <c:pt idx="520">
                  <c:v>2</c:v>
                </c:pt>
                <c:pt idx="521">
                  <c:v>1</c:v>
                </c:pt>
                <c:pt idx="522">
                  <c:v>3</c:v>
                </c:pt>
                <c:pt idx="523">
                  <c:v>1</c:v>
                </c:pt>
                <c:pt idx="524">
                  <c:v>1</c:v>
                </c:pt>
                <c:pt idx="525">
                  <c:v>3</c:v>
                </c:pt>
                <c:pt idx="526">
                  <c:v>3</c:v>
                </c:pt>
                <c:pt idx="527">
                  <c:v>4</c:v>
                </c:pt>
                <c:pt idx="528">
                  <c:v>1</c:v>
                </c:pt>
                <c:pt idx="529">
                  <c:v>2</c:v>
                </c:pt>
                <c:pt idx="530">
                  <c:v>3</c:v>
                </c:pt>
                <c:pt idx="531">
                  <c:v>4</c:v>
                </c:pt>
                <c:pt idx="532">
                  <c:v>3</c:v>
                </c:pt>
                <c:pt idx="533">
                  <c:v>3</c:v>
                </c:pt>
                <c:pt idx="534">
                  <c:v>3</c:v>
                </c:pt>
                <c:pt idx="535">
                  <c:v>3</c:v>
                </c:pt>
                <c:pt idx="536">
                  <c:v>1</c:v>
                </c:pt>
                <c:pt idx="537">
                  <c:v>3</c:v>
                </c:pt>
                <c:pt idx="538">
                  <c:v>2</c:v>
                </c:pt>
                <c:pt idx="539">
                  <c:v>2</c:v>
                </c:pt>
                <c:pt idx="540">
                  <c:v>1</c:v>
                </c:pt>
                <c:pt idx="541">
                  <c:v>2</c:v>
                </c:pt>
                <c:pt idx="542">
                  <c:v>1</c:v>
                </c:pt>
                <c:pt idx="543">
                  <c:v>3</c:v>
                </c:pt>
                <c:pt idx="544">
                  <c:v>2</c:v>
                </c:pt>
                <c:pt idx="545">
                  <c:v>3</c:v>
                </c:pt>
                <c:pt idx="546">
                  <c:v>2</c:v>
                </c:pt>
                <c:pt idx="547">
                  <c:v>2</c:v>
                </c:pt>
                <c:pt idx="548">
                  <c:v>2</c:v>
                </c:pt>
                <c:pt idx="549">
                  <c:v>1</c:v>
                </c:pt>
                <c:pt idx="550">
                  <c:v>3</c:v>
                </c:pt>
                <c:pt idx="551">
                  <c:v>4</c:v>
                </c:pt>
                <c:pt idx="552">
                  <c:v>2</c:v>
                </c:pt>
                <c:pt idx="553">
                  <c:v>2</c:v>
                </c:pt>
                <c:pt idx="554">
                  <c:v>3</c:v>
                </c:pt>
                <c:pt idx="555">
                  <c:v>2</c:v>
                </c:pt>
                <c:pt idx="556">
                  <c:v>3</c:v>
                </c:pt>
                <c:pt idx="557">
                  <c:v>2</c:v>
                </c:pt>
                <c:pt idx="558">
                  <c:v>3</c:v>
                </c:pt>
                <c:pt idx="559">
                  <c:v>1</c:v>
                </c:pt>
                <c:pt idx="560">
                  <c:v>1</c:v>
                </c:pt>
                <c:pt idx="561">
                  <c:v>2</c:v>
                </c:pt>
                <c:pt idx="562">
                  <c:v>1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1</c:v>
                </c:pt>
                <c:pt idx="567">
                  <c:v>2</c:v>
                </c:pt>
                <c:pt idx="568">
                  <c:v>2</c:v>
                </c:pt>
                <c:pt idx="569">
                  <c:v>1</c:v>
                </c:pt>
                <c:pt idx="570">
                  <c:v>4</c:v>
                </c:pt>
                <c:pt idx="571">
                  <c:v>1</c:v>
                </c:pt>
                <c:pt idx="572">
                  <c:v>2</c:v>
                </c:pt>
                <c:pt idx="573">
                  <c:v>1</c:v>
                </c:pt>
                <c:pt idx="574">
                  <c:v>2</c:v>
                </c:pt>
                <c:pt idx="575">
                  <c:v>3</c:v>
                </c:pt>
                <c:pt idx="576">
                  <c:v>2</c:v>
                </c:pt>
                <c:pt idx="577">
                  <c:v>3</c:v>
                </c:pt>
                <c:pt idx="578">
                  <c:v>4</c:v>
                </c:pt>
                <c:pt idx="579">
                  <c:v>4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1</c:v>
                </c:pt>
                <c:pt idx="584">
                  <c:v>1</c:v>
                </c:pt>
                <c:pt idx="585">
                  <c:v>3</c:v>
                </c:pt>
                <c:pt idx="586">
                  <c:v>4</c:v>
                </c:pt>
                <c:pt idx="587">
                  <c:v>4</c:v>
                </c:pt>
                <c:pt idx="588">
                  <c:v>3</c:v>
                </c:pt>
                <c:pt idx="589">
                  <c:v>2</c:v>
                </c:pt>
                <c:pt idx="590">
                  <c:v>4</c:v>
                </c:pt>
                <c:pt idx="591">
                  <c:v>3</c:v>
                </c:pt>
                <c:pt idx="592">
                  <c:v>4</c:v>
                </c:pt>
                <c:pt idx="593">
                  <c:v>2</c:v>
                </c:pt>
                <c:pt idx="594">
                  <c:v>2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3</c:v>
                </c:pt>
                <c:pt idx="600">
                  <c:v>2</c:v>
                </c:pt>
                <c:pt idx="601">
                  <c:v>1</c:v>
                </c:pt>
                <c:pt idx="602">
                  <c:v>5</c:v>
                </c:pt>
                <c:pt idx="603">
                  <c:v>3</c:v>
                </c:pt>
                <c:pt idx="604">
                  <c:v>1</c:v>
                </c:pt>
                <c:pt idx="605">
                  <c:v>4</c:v>
                </c:pt>
                <c:pt idx="606">
                  <c:v>2</c:v>
                </c:pt>
                <c:pt idx="607">
                  <c:v>3</c:v>
                </c:pt>
                <c:pt idx="608">
                  <c:v>3</c:v>
                </c:pt>
                <c:pt idx="609">
                  <c:v>3</c:v>
                </c:pt>
                <c:pt idx="610">
                  <c:v>4</c:v>
                </c:pt>
                <c:pt idx="611">
                  <c:v>3</c:v>
                </c:pt>
                <c:pt idx="612">
                  <c:v>4</c:v>
                </c:pt>
                <c:pt idx="613">
                  <c:v>4</c:v>
                </c:pt>
                <c:pt idx="614">
                  <c:v>4</c:v>
                </c:pt>
                <c:pt idx="615">
                  <c:v>1</c:v>
                </c:pt>
                <c:pt idx="616">
                  <c:v>4</c:v>
                </c:pt>
                <c:pt idx="617">
                  <c:v>1</c:v>
                </c:pt>
                <c:pt idx="618">
                  <c:v>1</c:v>
                </c:pt>
                <c:pt idx="619">
                  <c:v>2</c:v>
                </c:pt>
                <c:pt idx="620">
                  <c:v>2</c:v>
                </c:pt>
                <c:pt idx="621">
                  <c:v>4</c:v>
                </c:pt>
                <c:pt idx="622">
                  <c:v>2</c:v>
                </c:pt>
                <c:pt idx="623">
                  <c:v>3</c:v>
                </c:pt>
                <c:pt idx="624">
                  <c:v>2</c:v>
                </c:pt>
                <c:pt idx="625">
                  <c:v>3</c:v>
                </c:pt>
                <c:pt idx="626">
                  <c:v>3</c:v>
                </c:pt>
                <c:pt idx="627">
                  <c:v>3</c:v>
                </c:pt>
                <c:pt idx="628">
                  <c:v>2</c:v>
                </c:pt>
                <c:pt idx="629">
                  <c:v>3</c:v>
                </c:pt>
                <c:pt idx="630">
                  <c:v>3</c:v>
                </c:pt>
                <c:pt idx="631">
                  <c:v>4</c:v>
                </c:pt>
                <c:pt idx="632">
                  <c:v>2</c:v>
                </c:pt>
                <c:pt idx="633">
                  <c:v>3</c:v>
                </c:pt>
                <c:pt idx="634">
                  <c:v>4</c:v>
                </c:pt>
                <c:pt idx="635">
                  <c:v>3</c:v>
                </c:pt>
                <c:pt idx="636">
                  <c:v>4</c:v>
                </c:pt>
                <c:pt idx="637">
                  <c:v>1</c:v>
                </c:pt>
                <c:pt idx="638">
                  <c:v>3</c:v>
                </c:pt>
                <c:pt idx="639">
                  <c:v>2</c:v>
                </c:pt>
                <c:pt idx="640">
                  <c:v>3</c:v>
                </c:pt>
                <c:pt idx="641">
                  <c:v>4</c:v>
                </c:pt>
                <c:pt idx="642">
                  <c:v>4</c:v>
                </c:pt>
                <c:pt idx="643">
                  <c:v>1</c:v>
                </c:pt>
                <c:pt idx="644">
                  <c:v>1</c:v>
                </c:pt>
                <c:pt idx="645">
                  <c:v>2</c:v>
                </c:pt>
                <c:pt idx="646">
                  <c:v>3</c:v>
                </c:pt>
                <c:pt idx="647">
                  <c:v>1</c:v>
                </c:pt>
                <c:pt idx="648">
                  <c:v>3</c:v>
                </c:pt>
                <c:pt idx="649">
                  <c:v>1</c:v>
                </c:pt>
                <c:pt idx="650">
                  <c:v>2</c:v>
                </c:pt>
                <c:pt idx="651">
                  <c:v>1</c:v>
                </c:pt>
                <c:pt idx="652">
                  <c:v>1</c:v>
                </c:pt>
                <c:pt idx="653">
                  <c:v>4</c:v>
                </c:pt>
                <c:pt idx="654">
                  <c:v>1</c:v>
                </c:pt>
                <c:pt idx="655">
                  <c:v>4</c:v>
                </c:pt>
                <c:pt idx="656">
                  <c:v>4</c:v>
                </c:pt>
                <c:pt idx="657">
                  <c:v>3</c:v>
                </c:pt>
                <c:pt idx="658">
                  <c:v>2</c:v>
                </c:pt>
                <c:pt idx="659">
                  <c:v>4</c:v>
                </c:pt>
                <c:pt idx="660">
                  <c:v>4</c:v>
                </c:pt>
                <c:pt idx="661">
                  <c:v>1</c:v>
                </c:pt>
                <c:pt idx="662">
                  <c:v>3</c:v>
                </c:pt>
                <c:pt idx="663">
                  <c:v>1</c:v>
                </c:pt>
                <c:pt idx="664">
                  <c:v>3</c:v>
                </c:pt>
                <c:pt idx="665">
                  <c:v>1</c:v>
                </c:pt>
                <c:pt idx="666">
                  <c:v>3</c:v>
                </c:pt>
                <c:pt idx="667">
                  <c:v>1</c:v>
                </c:pt>
                <c:pt idx="668">
                  <c:v>2</c:v>
                </c:pt>
                <c:pt idx="669">
                  <c:v>2</c:v>
                </c:pt>
                <c:pt idx="670">
                  <c:v>2</c:v>
                </c:pt>
                <c:pt idx="671">
                  <c:v>2</c:v>
                </c:pt>
                <c:pt idx="672">
                  <c:v>2</c:v>
                </c:pt>
                <c:pt idx="673">
                  <c:v>2</c:v>
                </c:pt>
                <c:pt idx="674">
                  <c:v>2</c:v>
                </c:pt>
                <c:pt idx="675">
                  <c:v>1</c:v>
                </c:pt>
                <c:pt idx="676">
                  <c:v>3</c:v>
                </c:pt>
                <c:pt idx="677">
                  <c:v>1</c:v>
                </c:pt>
                <c:pt idx="678">
                  <c:v>3</c:v>
                </c:pt>
                <c:pt idx="679">
                  <c:v>2</c:v>
                </c:pt>
                <c:pt idx="680">
                  <c:v>1</c:v>
                </c:pt>
                <c:pt idx="681">
                  <c:v>2</c:v>
                </c:pt>
                <c:pt idx="682">
                  <c:v>2</c:v>
                </c:pt>
                <c:pt idx="683">
                  <c:v>4</c:v>
                </c:pt>
                <c:pt idx="684">
                  <c:v>3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2</c:v>
                </c:pt>
                <c:pt idx="689">
                  <c:v>2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2</c:v>
                </c:pt>
                <c:pt idx="694">
                  <c:v>1</c:v>
                </c:pt>
                <c:pt idx="695">
                  <c:v>2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2</c:v>
                </c:pt>
                <c:pt idx="702">
                  <c:v>2</c:v>
                </c:pt>
                <c:pt idx="703">
                  <c:v>2</c:v>
                </c:pt>
                <c:pt idx="704">
                  <c:v>1</c:v>
                </c:pt>
                <c:pt idx="705">
                  <c:v>1</c:v>
                </c:pt>
                <c:pt idx="706">
                  <c:v>0</c:v>
                </c:pt>
                <c:pt idx="707">
                  <c:v>3</c:v>
                </c:pt>
                <c:pt idx="708">
                  <c:v>2</c:v>
                </c:pt>
                <c:pt idx="709">
                  <c:v>3</c:v>
                </c:pt>
                <c:pt idx="710">
                  <c:v>1</c:v>
                </c:pt>
                <c:pt idx="711">
                  <c:v>3</c:v>
                </c:pt>
                <c:pt idx="712">
                  <c:v>3</c:v>
                </c:pt>
                <c:pt idx="713">
                  <c:v>4</c:v>
                </c:pt>
                <c:pt idx="714">
                  <c:v>1</c:v>
                </c:pt>
                <c:pt idx="715">
                  <c:v>3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2</c:v>
                </c:pt>
                <c:pt idx="721">
                  <c:v>2</c:v>
                </c:pt>
                <c:pt idx="722">
                  <c:v>2</c:v>
                </c:pt>
                <c:pt idx="723">
                  <c:v>2</c:v>
                </c:pt>
                <c:pt idx="724">
                  <c:v>2</c:v>
                </c:pt>
                <c:pt idx="725">
                  <c:v>1</c:v>
                </c:pt>
                <c:pt idx="726">
                  <c:v>4</c:v>
                </c:pt>
                <c:pt idx="727">
                  <c:v>2</c:v>
                </c:pt>
                <c:pt idx="728">
                  <c:v>4</c:v>
                </c:pt>
                <c:pt idx="729">
                  <c:v>1</c:v>
                </c:pt>
                <c:pt idx="730">
                  <c:v>3</c:v>
                </c:pt>
                <c:pt idx="731">
                  <c:v>3</c:v>
                </c:pt>
                <c:pt idx="732">
                  <c:v>2</c:v>
                </c:pt>
                <c:pt idx="733">
                  <c:v>4</c:v>
                </c:pt>
                <c:pt idx="734">
                  <c:v>3</c:v>
                </c:pt>
                <c:pt idx="735">
                  <c:v>5</c:v>
                </c:pt>
                <c:pt idx="736">
                  <c:v>2</c:v>
                </c:pt>
                <c:pt idx="737">
                  <c:v>1</c:v>
                </c:pt>
                <c:pt idx="738">
                  <c:v>2</c:v>
                </c:pt>
                <c:pt idx="739">
                  <c:v>2</c:v>
                </c:pt>
                <c:pt idx="740">
                  <c:v>3</c:v>
                </c:pt>
                <c:pt idx="741">
                  <c:v>1</c:v>
                </c:pt>
                <c:pt idx="742">
                  <c:v>2</c:v>
                </c:pt>
                <c:pt idx="743">
                  <c:v>2</c:v>
                </c:pt>
                <c:pt idx="744">
                  <c:v>2</c:v>
                </c:pt>
                <c:pt idx="745">
                  <c:v>3</c:v>
                </c:pt>
                <c:pt idx="746">
                  <c:v>4</c:v>
                </c:pt>
                <c:pt idx="747">
                  <c:v>2</c:v>
                </c:pt>
                <c:pt idx="748">
                  <c:v>3</c:v>
                </c:pt>
                <c:pt idx="749">
                  <c:v>3</c:v>
                </c:pt>
                <c:pt idx="750">
                  <c:v>2</c:v>
                </c:pt>
                <c:pt idx="751">
                  <c:v>3</c:v>
                </c:pt>
                <c:pt idx="752">
                  <c:v>2</c:v>
                </c:pt>
                <c:pt idx="753">
                  <c:v>4</c:v>
                </c:pt>
                <c:pt idx="754">
                  <c:v>4</c:v>
                </c:pt>
                <c:pt idx="755">
                  <c:v>1</c:v>
                </c:pt>
                <c:pt idx="756">
                  <c:v>3</c:v>
                </c:pt>
                <c:pt idx="757">
                  <c:v>2</c:v>
                </c:pt>
                <c:pt idx="758">
                  <c:v>2</c:v>
                </c:pt>
                <c:pt idx="759">
                  <c:v>3</c:v>
                </c:pt>
                <c:pt idx="760">
                  <c:v>1</c:v>
                </c:pt>
                <c:pt idx="761">
                  <c:v>2</c:v>
                </c:pt>
                <c:pt idx="762">
                  <c:v>4</c:v>
                </c:pt>
                <c:pt idx="763">
                  <c:v>3</c:v>
                </c:pt>
                <c:pt idx="764">
                  <c:v>1</c:v>
                </c:pt>
                <c:pt idx="765">
                  <c:v>1</c:v>
                </c:pt>
                <c:pt idx="766">
                  <c:v>4</c:v>
                </c:pt>
                <c:pt idx="767">
                  <c:v>3</c:v>
                </c:pt>
                <c:pt idx="768">
                  <c:v>3</c:v>
                </c:pt>
                <c:pt idx="769">
                  <c:v>1</c:v>
                </c:pt>
                <c:pt idx="770">
                  <c:v>2</c:v>
                </c:pt>
                <c:pt idx="771">
                  <c:v>4</c:v>
                </c:pt>
                <c:pt idx="772">
                  <c:v>1</c:v>
                </c:pt>
                <c:pt idx="773">
                  <c:v>2</c:v>
                </c:pt>
                <c:pt idx="774">
                  <c:v>2</c:v>
                </c:pt>
                <c:pt idx="775">
                  <c:v>3</c:v>
                </c:pt>
                <c:pt idx="776">
                  <c:v>4</c:v>
                </c:pt>
                <c:pt idx="777">
                  <c:v>2</c:v>
                </c:pt>
                <c:pt idx="778">
                  <c:v>1</c:v>
                </c:pt>
                <c:pt idx="779">
                  <c:v>3</c:v>
                </c:pt>
                <c:pt idx="780">
                  <c:v>1</c:v>
                </c:pt>
                <c:pt idx="781">
                  <c:v>3</c:v>
                </c:pt>
                <c:pt idx="782">
                  <c:v>3</c:v>
                </c:pt>
                <c:pt idx="783">
                  <c:v>3</c:v>
                </c:pt>
                <c:pt idx="784">
                  <c:v>3</c:v>
                </c:pt>
                <c:pt idx="785">
                  <c:v>3</c:v>
                </c:pt>
                <c:pt idx="786">
                  <c:v>2</c:v>
                </c:pt>
                <c:pt idx="787">
                  <c:v>2</c:v>
                </c:pt>
                <c:pt idx="788">
                  <c:v>2</c:v>
                </c:pt>
                <c:pt idx="789">
                  <c:v>3</c:v>
                </c:pt>
                <c:pt idx="790">
                  <c:v>1</c:v>
                </c:pt>
                <c:pt idx="791">
                  <c:v>1</c:v>
                </c:pt>
                <c:pt idx="792">
                  <c:v>3</c:v>
                </c:pt>
                <c:pt idx="793">
                  <c:v>2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2</c:v>
                </c:pt>
                <c:pt idx="798">
                  <c:v>2</c:v>
                </c:pt>
                <c:pt idx="799">
                  <c:v>1</c:v>
                </c:pt>
                <c:pt idx="800">
                  <c:v>3</c:v>
                </c:pt>
                <c:pt idx="801">
                  <c:v>3</c:v>
                </c:pt>
                <c:pt idx="802">
                  <c:v>2</c:v>
                </c:pt>
                <c:pt idx="803">
                  <c:v>1</c:v>
                </c:pt>
                <c:pt idx="804">
                  <c:v>2</c:v>
                </c:pt>
                <c:pt idx="805">
                  <c:v>2</c:v>
                </c:pt>
                <c:pt idx="806">
                  <c:v>1</c:v>
                </c:pt>
                <c:pt idx="807">
                  <c:v>1</c:v>
                </c:pt>
                <c:pt idx="808">
                  <c:v>4</c:v>
                </c:pt>
                <c:pt idx="809">
                  <c:v>3</c:v>
                </c:pt>
                <c:pt idx="810">
                  <c:v>3</c:v>
                </c:pt>
                <c:pt idx="811">
                  <c:v>4</c:v>
                </c:pt>
                <c:pt idx="812">
                  <c:v>1</c:v>
                </c:pt>
                <c:pt idx="813">
                  <c:v>3</c:v>
                </c:pt>
                <c:pt idx="814">
                  <c:v>2</c:v>
                </c:pt>
                <c:pt idx="815">
                  <c:v>4</c:v>
                </c:pt>
                <c:pt idx="816">
                  <c:v>3</c:v>
                </c:pt>
                <c:pt idx="817">
                  <c:v>3</c:v>
                </c:pt>
                <c:pt idx="818">
                  <c:v>3</c:v>
                </c:pt>
                <c:pt idx="819">
                  <c:v>2</c:v>
                </c:pt>
                <c:pt idx="820">
                  <c:v>3</c:v>
                </c:pt>
                <c:pt idx="821">
                  <c:v>2</c:v>
                </c:pt>
                <c:pt idx="822">
                  <c:v>4</c:v>
                </c:pt>
                <c:pt idx="823">
                  <c:v>2</c:v>
                </c:pt>
                <c:pt idx="824">
                  <c:v>1</c:v>
                </c:pt>
                <c:pt idx="825">
                  <c:v>2</c:v>
                </c:pt>
                <c:pt idx="826">
                  <c:v>4</c:v>
                </c:pt>
                <c:pt idx="827">
                  <c:v>3</c:v>
                </c:pt>
                <c:pt idx="828">
                  <c:v>3</c:v>
                </c:pt>
                <c:pt idx="829">
                  <c:v>3</c:v>
                </c:pt>
                <c:pt idx="830">
                  <c:v>4</c:v>
                </c:pt>
                <c:pt idx="831">
                  <c:v>3</c:v>
                </c:pt>
                <c:pt idx="832">
                  <c:v>3</c:v>
                </c:pt>
                <c:pt idx="833">
                  <c:v>1</c:v>
                </c:pt>
                <c:pt idx="834">
                  <c:v>2</c:v>
                </c:pt>
                <c:pt idx="835">
                  <c:v>3</c:v>
                </c:pt>
                <c:pt idx="836">
                  <c:v>3</c:v>
                </c:pt>
                <c:pt idx="837">
                  <c:v>4</c:v>
                </c:pt>
                <c:pt idx="838">
                  <c:v>3</c:v>
                </c:pt>
                <c:pt idx="839">
                  <c:v>3</c:v>
                </c:pt>
                <c:pt idx="840">
                  <c:v>3</c:v>
                </c:pt>
                <c:pt idx="841">
                  <c:v>2</c:v>
                </c:pt>
                <c:pt idx="842">
                  <c:v>3</c:v>
                </c:pt>
                <c:pt idx="843">
                  <c:v>2</c:v>
                </c:pt>
                <c:pt idx="844">
                  <c:v>1</c:v>
                </c:pt>
                <c:pt idx="845">
                  <c:v>2</c:v>
                </c:pt>
                <c:pt idx="846">
                  <c:v>3</c:v>
                </c:pt>
                <c:pt idx="847">
                  <c:v>1</c:v>
                </c:pt>
                <c:pt idx="848">
                  <c:v>3</c:v>
                </c:pt>
                <c:pt idx="849">
                  <c:v>3</c:v>
                </c:pt>
                <c:pt idx="850">
                  <c:v>4</c:v>
                </c:pt>
                <c:pt idx="851">
                  <c:v>3</c:v>
                </c:pt>
                <c:pt idx="852">
                  <c:v>1</c:v>
                </c:pt>
                <c:pt idx="853">
                  <c:v>3</c:v>
                </c:pt>
                <c:pt idx="854">
                  <c:v>2</c:v>
                </c:pt>
                <c:pt idx="855">
                  <c:v>1</c:v>
                </c:pt>
                <c:pt idx="856">
                  <c:v>3</c:v>
                </c:pt>
                <c:pt idx="857">
                  <c:v>1</c:v>
                </c:pt>
                <c:pt idx="858">
                  <c:v>2</c:v>
                </c:pt>
                <c:pt idx="859">
                  <c:v>1</c:v>
                </c:pt>
                <c:pt idx="860">
                  <c:v>2</c:v>
                </c:pt>
                <c:pt idx="861">
                  <c:v>3</c:v>
                </c:pt>
                <c:pt idx="862">
                  <c:v>1</c:v>
                </c:pt>
                <c:pt idx="863">
                  <c:v>2</c:v>
                </c:pt>
                <c:pt idx="864">
                  <c:v>3</c:v>
                </c:pt>
                <c:pt idx="865">
                  <c:v>1</c:v>
                </c:pt>
                <c:pt idx="866">
                  <c:v>1</c:v>
                </c:pt>
                <c:pt idx="867">
                  <c:v>3</c:v>
                </c:pt>
                <c:pt idx="868">
                  <c:v>1</c:v>
                </c:pt>
                <c:pt idx="869">
                  <c:v>2</c:v>
                </c:pt>
                <c:pt idx="870">
                  <c:v>6</c:v>
                </c:pt>
                <c:pt idx="871">
                  <c:v>2</c:v>
                </c:pt>
                <c:pt idx="872">
                  <c:v>4</c:v>
                </c:pt>
                <c:pt idx="873">
                  <c:v>3</c:v>
                </c:pt>
                <c:pt idx="874">
                  <c:v>4</c:v>
                </c:pt>
                <c:pt idx="875">
                  <c:v>4</c:v>
                </c:pt>
                <c:pt idx="876">
                  <c:v>3</c:v>
                </c:pt>
                <c:pt idx="877">
                  <c:v>4</c:v>
                </c:pt>
                <c:pt idx="878">
                  <c:v>3</c:v>
                </c:pt>
                <c:pt idx="879">
                  <c:v>3</c:v>
                </c:pt>
                <c:pt idx="880">
                  <c:v>2</c:v>
                </c:pt>
                <c:pt idx="881">
                  <c:v>3</c:v>
                </c:pt>
                <c:pt idx="882">
                  <c:v>3</c:v>
                </c:pt>
                <c:pt idx="883">
                  <c:v>1</c:v>
                </c:pt>
                <c:pt idx="884">
                  <c:v>1</c:v>
                </c:pt>
                <c:pt idx="885">
                  <c:v>2</c:v>
                </c:pt>
                <c:pt idx="886">
                  <c:v>3</c:v>
                </c:pt>
                <c:pt idx="887">
                  <c:v>1</c:v>
                </c:pt>
                <c:pt idx="888">
                  <c:v>3</c:v>
                </c:pt>
                <c:pt idx="889">
                  <c:v>3</c:v>
                </c:pt>
                <c:pt idx="890">
                  <c:v>4</c:v>
                </c:pt>
                <c:pt idx="891">
                  <c:v>4</c:v>
                </c:pt>
                <c:pt idx="892">
                  <c:v>4</c:v>
                </c:pt>
                <c:pt idx="893">
                  <c:v>3</c:v>
                </c:pt>
                <c:pt idx="894">
                  <c:v>4</c:v>
                </c:pt>
                <c:pt idx="895">
                  <c:v>3</c:v>
                </c:pt>
                <c:pt idx="896">
                  <c:v>4</c:v>
                </c:pt>
                <c:pt idx="897">
                  <c:v>4</c:v>
                </c:pt>
                <c:pt idx="898">
                  <c:v>3</c:v>
                </c:pt>
                <c:pt idx="899">
                  <c:v>1</c:v>
                </c:pt>
                <c:pt idx="900">
                  <c:v>3</c:v>
                </c:pt>
                <c:pt idx="901">
                  <c:v>1</c:v>
                </c:pt>
                <c:pt idx="902">
                  <c:v>1</c:v>
                </c:pt>
                <c:pt idx="903">
                  <c:v>2</c:v>
                </c:pt>
                <c:pt idx="904">
                  <c:v>3</c:v>
                </c:pt>
                <c:pt idx="905">
                  <c:v>2</c:v>
                </c:pt>
                <c:pt idx="906">
                  <c:v>1</c:v>
                </c:pt>
                <c:pt idx="907">
                  <c:v>3</c:v>
                </c:pt>
                <c:pt idx="908">
                  <c:v>1</c:v>
                </c:pt>
                <c:pt idx="909">
                  <c:v>3</c:v>
                </c:pt>
                <c:pt idx="910">
                  <c:v>2</c:v>
                </c:pt>
                <c:pt idx="911">
                  <c:v>3</c:v>
                </c:pt>
                <c:pt idx="912">
                  <c:v>1</c:v>
                </c:pt>
                <c:pt idx="913">
                  <c:v>2</c:v>
                </c:pt>
                <c:pt idx="914">
                  <c:v>3</c:v>
                </c:pt>
                <c:pt idx="915">
                  <c:v>3</c:v>
                </c:pt>
                <c:pt idx="916">
                  <c:v>1</c:v>
                </c:pt>
                <c:pt idx="917">
                  <c:v>3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3</c:v>
                </c:pt>
                <c:pt idx="922">
                  <c:v>4</c:v>
                </c:pt>
                <c:pt idx="923">
                  <c:v>1</c:v>
                </c:pt>
                <c:pt idx="924">
                  <c:v>2</c:v>
                </c:pt>
                <c:pt idx="925">
                  <c:v>2</c:v>
                </c:pt>
                <c:pt idx="926">
                  <c:v>2</c:v>
                </c:pt>
                <c:pt idx="927">
                  <c:v>1</c:v>
                </c:pt>
                <c:pt idx="928">
                  <c:v>2</c:v>
                </c:pt>
                <c:pt idx="929">
                  <c:v>2</c:v>
                </c:pt>
                <c:pt idx="930">
                  <c:v>1</c:v>
                </c:pt>
                <c:pt idx="931">
                  <c:v>4</c:v>
                </c:pt>
                <c:pt idx="932">
                  <c:v>4</c:v>
                </c:pt>
                <c:pt idx="933">
                  <c:v>2</c:v>
                </c:pt>
                <c:pt idx="934">
                  <c:v>3</c:v>
                </c:pt>
                <c:pt idx="935">
                  <c:v>4</c:v>
                </c:pt>
                <c:pt idx="936">
                  <c:v>4</c:v>
                </c:pt>
                <c:pt idx="937">
                  <c:v>1</c:v>
                </c:pt>
                <c:pt idx="938">
                  <c:v>2</c:v>
                </c:pt>
                <c:pt idx="939">
                  <c:v>3</c:v>
                </c:pt>
                <c:pt idx="940">
                  <c:v>1</c:v>
                </c:pt>
                <c:pt idx="941">
                  <c:v>4</c:v>
                </c:pt>
                <c:pt idx="942">
                  <c:v>1</c:v>
                </c:pt>
                <c:pt idx="943">
                  <c:v>3</c:v>
                </c:pt>
                <c:pt idx="944">
                  <c:v>2</c:v>
                </c:pt>
                <c:pt idx="945">
                  <c:v>4</c:v>
                </c:pt>
                <c:pt idx="946">
                  <c:v>4</c:v>
                </c:pt>
                <c:pt idx="947">
                  <c:v>1</c:v>
                </c:pt>
                <c:pt idx="948">
                  <c:v>2</c:v>
                </c:pt>
                <c:pt idx="949">
                  <c:v>4</c:v>
                </c:pt>
                <c:pt idx="950">
                  <c:v>2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2</c:v>
                </c:pt>
                <c:pt idx="955">
                  <c:v>3</c:v>
                </c:pt>
                <c:pt idx="956">
                  <c:v>1</c:v>
                </c:pt>
                <c:pt idx="957">
                  <c:v>2</c:v>
                </c:pt>
                <c:pt idx="958">
                  <c:v>3</c:v>
                </c:pt>
                <c:pt idx="959">
                  <c:v>3</c:v>
                </c:pt>
                <c:pt idx="960">
                  <c:v>1</c:v>
                </c:pt>
                <c:pt idx="961">
                  <c:v>3</c:v>
                </c:pt>
                <c:pt idx="962">
                  <c:v>4</c:v>
                </c:pt>
                <c:pt idx="963">
                  <c:v>3</c:v>
                </c:pt>
                <c:pt idx="964">
                  <c:v>3</c:v>
                </c:pt>
                <c:pt idx="965">
                  <c:v>1</c:v>
                </c:pt>
                <c:pt idx="966">
                  <c:v>4</c:v>
                </c:pt>
                <c:pt idx="967">
                  <c:v>1</c:v>
                </c:pt>
                <c:pt idx="968">
                  <c:v>2</c:v>
                </c:pt>
                <c:pt idx="969">
                  <c:v>1</c:v>
                </c:pt>
                <c:pt idx="970">
                  <c:v>3</c:v>
                </c:pt>
                <c:pt idx="971">
                  <c:v>1</c:v>
                </c:pt>
                <c:pt idx="972">
                  <c:v>2</c:v>
                </c:pt>
                <c:pt idx="973">
                  <c:v>3</c:v>
                </c:pt>
                <c:pt idx="974">
                  <c:v>3</c:v>
                </c:pt>
                <c:pt idx="975">
                  <c:v>4</c:v>
                </c:pt>
                <c:pt idx="976">
                  <c:v>3</c:v>
                </c:pt>
                <c:pt idx="977">
                  <c:v>1</c:v>
                </c:pt>
                <c:pt idx="978">
                  <c:v>2</c:v>
                </c:pt>
                <c:pt idx="979">
                  <c:v>2</c:v>
                </c:pt>
                <c:pt idx="980">
                  <c:v>4</c:v>
                </c:pt>
                <c:pt idx="981">
                  <c:v>2</c:v>
                </c:pt>
                <c:pt idx="982">
                  <c:v>4</c:v>
                </c:pt>
                <c:pt idx="983">
                  <c:v>1</c:v>
                </c:pt>
                <c:pt idx="984">
                  <c:v>3</c:v>
                </c:pt>
                <c:pt idx="985">
                  <c:v>2</c:v>
                </c:pt>
                <c:pt idx="986">
                  <c:v>3</c:v>
                </c:pt>
                <c:pt idx="987">
                  <c:v>2</c:v>
                </c:pt>
                <c:pt idx="988">
                  <c:v>2</c:v>
                </c:pt>
                <c:pt idx="989">
                  <c:v>3</c:v>
                </c:pt>
                <c:pt idx="990">
                  <c:v>3</c:v>
                </c:pt>
                <c:pt idx="991">
                  <c:v>1</c:v>
                </c:pt>
                <c:pt idx="992">
                  <c:v>2</c:v>
                </c:pt>
                <c:pt idx="993">
                  <c:v>3</c:v>
                </c:pt>
                <c:pt idx="994">
                  <c:v>2</c:v>
                </c:pt>
                <c:pt idx="995">
                  <c:v>3</c:v>
                </c:pt>
                <c:pt idx="996">
                  <c:v>1</c:v>
                </c:pt>
                <c:pt idx="997">
                  <c:v>3</c:v>
                </c:pt>
                <c:pt idx="998">
                  <c:v>1</c:v>
                </c:pt>
                <c:pt idx="999">
                  <c:v>1</c:v>
                </c:pt>
                <c:pt idx="1000">
                  <c:v>3</c:v>
                </c:pt>
                <c:pt idx="1001">
                  <c:v>1</c:v>
                </c:pt>
                <c:pt idx="1002">
                  <c:v>4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2</c:v>
                </c:pt>
                <c:pt idx="1007">
                  <c:v>1</c:v>
                </c:pt>
                <c:pt idx="1008">
                  <c:v>1</c:v>
                </c:pt>
                <c:pt idx="1009">
                  <c:v>2</c:v>
                </c:pt>
                <c:pt idx="1010">
                  <c:v>2</c:v>
                </c:pt>
                <c:pt idx="1011">
                  <c:v>4</c:v>
                </c:pt>
                <c:pt idx="1012">
                  <c:v>4</c:v>
                </c:pt>
                <c:pt idx="1013">
                  <c:v>3</c:v>
                </c:pt>
                <c:pt idx="1014">
                  <c:v>3</c:v>
                </c:pt>
                <c:pt idx="1015">
                  <c:v>1</c:v>
                </c:pt>
                <c:pt idx="1016">
                  <c:v>3</c:v>
                </c:pt>
                <c:pt idx="1017">
                  <c:v>3</c:v>
                </c:pt>
                <c:pt idx="1018">
                  <c:v>2</c:v>
                </c:pt>
                <c:pt idx="1019">
                  <c:v>2</c:v>
                </c:pt>
                <c:pt idx="1020">
                  <c:v>2</c:v>
                </c:pt>
                <c:pt idx="1021">
                  <c:v>2</c:v>
                </c:pt>
                <c:pt idx="1022">
                  <c:v>2</c:v>
                </c:pt>
                <c:pt idx="1023">
                  <c:v>3</c:v>
                </c:pt>
                <c:pt idx="1024">
                  <c:v>4</c:v>
                </c:pt>
                <c:pt idx="1025">
                  <c:v>3</c:v>
                </c:pt>
                <c:pt idx="1026">
                  <c:v>1</c:v>
                </c:pt>
                <c:pt idx="1027">
                  <c:v>3</c:v>
                </c:pt>
                <c:pt idx="1028">
                  <c:v>4</c:v>
                </c:pt>
                <c:pt idx="1029">
                  <c:v>2</c:v>
                </c:pt>
                <c:pt idx="1030">
                  <c:v>3</c:v>
                </c:pt>
                <c:pt idx="1031">
                  <c:v>3</c:v>
                </c:pt>
                <c:pt idx="1032">
                  <c:v>3</c:v>
                </c:pt>
                <c:pt idx="1033">
                  <c:v>3</c:v>
                </c:pt>
                <c:pt idx="1034">
                  <c:v>3</c:v>
                </c:pt>
                <c:pt idx="1035">
                  <c:v>1</c:v>
                </c:pt>
                <c:pt idx="1036">
                  <c:v>3</c:v>
                </c:pt>
                <c:pt idx="1037">
                  <c:v>1</c:v>
                </c:pt>
                <c:pt idx="1038">
                  <c:v>3</c:v>
                </c:pt>
                <c:pt idx="1039">
                  <c:v>3</c:v>
                </c:pt>
                <c:pt idx="1040">
                  <c:v>3</c:v>
                </c:pt>
                <c:pt idx="1041">
                  <c:v>3</c:v>
                </c:pt>
                <c:pt idx="1042">
                  <c:v>4</c:v>
                </c:pt>
                <c:pt idx="1043">
                  <c:v>2</c:v>
                </c:pt>
                <c:pt idx="1044">
                  <c:v>4</c:v>
                </c:pt>
                <c:pt idx="1045">
                  <c:v>3</c:v>
                </c:pt>
                <c:pt idx="1046">
                  <c:v>4</c:v>
                </c:pt>
                <c:pt idx="1047">
                  <c:v>3</c:v>
                </c:pt>
                <c:pt idx="1048">
                  <c:v>3</c:v>
                </c:pt>
                <c:pt idx="1049">
                  <c:v>3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1</c:v>
                </c:pt>
                <c:pt idx="1054">
                  <c:v>3</c:v>
                </c:pt>
                <c:pt idx="1055">
                  <c:v>2</c:v>
                </c:pt>
                <c:pt idx="1056">
                  <c:v>3</c:v>
                </c:pt>
                <c:pt idx="1057">
                  <c:v>3</c:v>
                </c:pt>
                <c:pt idx="1058">
                  <c:v>4</c:v>
                </c:pt>
                <c:pt idx="1059">
                  <c:v>4</c:v>
                </c:pt>
                <c:pt idx="1060">
                  <c:v>3</c:v>
                </c:pt>
                <c:pt idx="1061">
                  <c:v>2</c:v>
                </c:pt>
                <c:pt idx="1062">
                  <c:v>2</c:v>
                </c:pt>
                <c:pt idx="1063">
                  <c:v>3</c:v>
                </c:pt>
                <c:pt idx="1064">
                  <c:v>3</c:v>
                </c:pt>
                <c:pt idx="1065">
                  <c:v>1</c:v>
                </c:pt>
                <c:pt idx="1066">
                  <c:v>1</c:v>
                </c:pt>
                <c:pt idx="1067">
                  <c:v>2</c:v>
                </c:pt>
                <c:pt idx="1068">
                  <c:v>4</c:v>
                </c:pt>
                <c:pt idx="1069">
                  <c:v>2</c:v>
                </c:pt>
                <c:pt idx="1070">
                  <c:v>4</c:v>
                </c:pt>
                <c:pt idx="1071">
                  <c:v>3</c:v>
                </c:pt>
                <c:pt idx="1072">
                  <c:v>4</c:v>
                </c:pt>
                <c:pt idx="1073">
                  <c:v>3</c:v>
                </c:pt>
                <c:pt idx="1074">
                  <c:v>3</c:v>
                </c:pt>
                <c:pt idx="1075">
                  <c:v>2</c:v>
                </c:pt>
                <c:pt idx="1076">
                  <c:v>1</c:v>
                </c:pt>
                <c:pt idx="1077">
                  <c:v>2</c:v>
                </c:pt>
                <c:pt idx="1078">
                  <c:v>2</c:v>
                </c:pt>
                <c:pt idx="1079">
                  <c:v>4</c:v>
                </c:pt>
                <c:pt idx="1080">
                  <c:v>2</c:v>
                </c:pt>
                <c:pt idx="1081">
                  <c:v>1</c:v>
                </c:pt>
                <c:pt idx="1082">
                  <c:v>3</c:v>
                </c:pt>
                <c:pt idx="1083">
                  <c:v>3</c:v>
                </c:pt>
                <c:pt idx="1084">
                  <c:v>2</c:v>
                </c:pt>
                <c:pt idx="1085">
                  <c:v>3</c:v>
                </c:pt>
                <c:pt idx="1086">
                  <c:v>2</c:v>
                </c:pt>
                <c:pt idx="1087">
                  <c:v>2</c:v>
                </c:pt>
                <c:pt idx="1088">
                  <c:v>1</c:v>
                </c:pt>
                <c:pt idx="1089">
                  <c:v>3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4</c:v>
                </c:pt>
                <c:pt idx="1095">
                  <c:v>3</c:v>
                </c:pt>
                <c:pt idx="1096">
                  <c:v>3</c:v>
                </c:pt>
                <c:pt idx="1097">
                  <c:v>2</c:v>
                </c:pt>
                <c:pt idx="1098">
                  <c:v>4</c:v>
                </c:pt>
                <c:pt idx="1099">
                  <c:v>3</c:v>
                </c:pt>
                <c:pt idx="1100">
                  <c:v>3</c:v>
                </c:pt>
                <c:pt idx="1101">
                  <c:v>3</c:v>
                </c:pt>
                <c:pt idx="1102">
                  <c:v>3</c:v>
                </c:pt>
                <c:pt idx="1103">
                  <c:v>4</c:v>
                </c:pt>
                <c:pt idx="1104">
                  <c:v>3</c:v>
                </c:pt>
                <c:pt idx="1105">
                  <c:v>2</c:v>
                </c:pt>
                <c:pt idx="1106">
                  <c:v>2</c:v>
                </c:pt>
                <c:pt idx="1107">
                  <c:v>2</c:v>
                </c:pt>
                <c:pt idx="1108">
                  <c:v>3</c:v>
                </c:pt>
                <c:pt idx="1109">
                  <c:v>2</c:v>
                </c:pt>
                <c:pt idx="1110">
                  <c:v>3</c:v>
                </c:pt>
                <c:pt idx="1111">
                  <c:v>3</c:v>
                </c:pt>
                <c:pt idx="1112">
                  <c:v>3</c:v>
                </c:pt>
                <c:pt idx="1113">
                  <c:v>3</c:v>
                </c:pt>
                <c:pt idx="1114">
                  <c:v>4</c:v>
                </c:pt>
                <c:pt idx="1115">
                  <c:v>3</c:v>
                </c:pt>
                <c:pt idx="1116">
                  <c:v>1</c:v>
                </c:pt>
                <c:pt idx="1117">
                  <c:v>3</c:v>
                </c:pt>
                <c:pt idx="1118">
                  <c:v>2</c:v>
                </c:pt>
                <c:pt idx="1119">
                  <c:v>2</c:v>
                </c:pt>
                <c:pt idx="1120">
                  <c:v>3</c:v>
                </c:pt>
                <c:pt idx="1121">
                  <c:v>3</c:v>
                </c:pt>
                <c:pt idx="1122">
                  <c:v>1</c:v>
                </c:pt>
                <c:pt idx="1123">
                  <c:v>4</c:v>
                </c:pt>
                <c:pt idx="1124">
                  <c:v>1</c:v>
                </c:pt>
                <c:pt idx="1125">
                  <c:v>2</c:v>
                </c:pt>
                <c:pt idx="1126">
                  <c:v>3</c:v>
                </c:pt>
                <c:pt idx="1127">
                  <c:v>2</c:v>
                </c:pt>
                <c:pt idx="1128">
                  <c:v>3</c:v>
                </c:pt>
                <c:pt idx="1129">
                  <c:v>3</c:v>
                </c:pt>
                <c:pt idx="1130">
                  <c:v>4</c:v>
                </c:pt>
                <c:pt idx="1131">
                  <c:v>2</c:v>
                </c:pt>
                <c:pt idx="1132">
                  <c:v>3</c:v>
                </c:pt>
                <c:pt idx="1133">
                  <c:v>3</c:v>
                </c:pt>
                <c:pt idx="1134">
                  <c:v>4</c:v>
                </c:pt>
                <c:pt idx="1135">
                  <c:v>3</c:v>
                </c:pt>
                <c:pt idx="1136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397-492B-9052-F7ECE7855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0271600"/>
        <c:axId val="1105315904"/>
      </c:scatterChart>
      <c:valAx>
        <c:axId val="290271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5315904"/>
        <c:crosses val="autoZero"/>
        <c:crossBetween val="midCat"/>
      </c:valAx>
      <c:valAx>
        <c:axId val="110531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02716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26</xdr:row>
      <xdr:rowOff>1</xdr:rowOff>
    </xdr:from>
    <xdr:to>
      <xdr:col>5</xdr:col>
      <xdr:colOff>0</xdr:colOff>
      <xdr:row>27</xdr:row>
      <xdr:rowOff>180975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FB9B3EA-896F-476D-B204-55856E4BD482}"/>
            </a:ext>
          </a:extLst>
        </xdr:cNvPr>
        <xdr:cNvSpPr/>
      </xdr:nvSpPr>
      <xdr:spPr>
        <a:xfrm>
          <a:off x="0" y="2714626"/>
          <a:ext cx="2438400" cy="371474"/>
        </a:xfrm>
        <a:prstGeom prst="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tx1"/>
              </a:solidFill>
            </a:rPr>
            <a:t>Input</a:t>
          </a:r>
        </a:p>
      </xdr:txBody>
    </xdr:sp>
    <xdr:clientData/>
  </xdr:twoCellAnchor>
  <xdr:twoCellAnchor>
    <xdr:from>
      <xdr:col>1</xdr:col>
      <xdr:colOff>0</xdr:colOff>
      <xdr:row>55</xdr:row>
      <xdr:rowOff>0</xdr:rowOff>
    </xdr:from>
    <xdr:to>
      <xdr:col>4</xdr:col>
      <xdr:colOff>600075</xdr:colOff>
      <xdr:row>62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CC34F383-9E47-4564-855E-769ED1D99AA5}"/>
            </a:ext>
          </a:extLst>
        </xdr:cNvPr>
        <xdr:cNvSpPr/>
      </xdr:nvSpPr>
      <xdr:spPr>
        <a:xfrm>
          <a:off x="0" y="6334125"/>
          <a:ext cx="2428875" cy="1333500"/>
        </a:xfrm>
        <a:prstGeom prst="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tx1"/>
              </a:solidFill>
            </a:rPr>
            <a:t>Felling</a:t>
          </a:r>
        </a:p>
        <a:p>
          <a:pPr algn="ctr"/>
          <a:r>
            <a:rPr lang="en-US" sz="1800" b="1" baseline="0">
              <a:solidFill>
                <a:schemeClr val="tx1"/>
              </a:solidFill>
            </a:rPr>
            <a:t>Extraction</a:t>
          </a:r>
        </a:p>
        <a:p>
          <a:pPr algn="ctr"/>
          <a:r>
            <a:rPr lang="en-US" sz="1800" b="1" baseline="0">
              <a:solidFill>
                <a:schemeClr val="tx1"/>
              </a:solidFill>
            </a:rPr>
            <a:t>Processing</a:t>
          </a:r>
        </a:p>
        <a:p>
          <a:pPr algn="ctr"/>
          <a:r>
            <a:rPr lang="en-US" sz="1800" b="1" baseline="0">
              <a:solidFill>
                <a:schemeClr val="tx1"/>
              </a:solidFill>
            </a:rPr>
            <a:t>Loading</a:t>
          </a:r>
        </a:p>
      </xdr:txBody>
    </xdr:sp>
    <xdr:clientData/>
  </xdr:twoCellAnchor>
  <xdr:twoCellAnchor>
    <xdr:from>
      <xdr:col>1</xdr:col>
      <xdr:colOff>0</xdr:colOff>
      <xdr:row>47</xdr:row>
      <xdr:rowOff>9525</xdr:rowOff>
    </xdr:from>
    <xdr:to>
      <xdr:col>4</xdr:col>
      <xdr:colOff>600075</xdr:colOff>
      <xdr:row>48</xdr:row>
      <xdr:rowOff>190499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FBDCEEF7-5B36-459A-BD5F-45CC244449D5}"/>
            </a:ext>
          </a:extLst>
        </xdr:cNvPr>
        <xdr:cNvSpPr/>
      </xdr:nvSpPr>
      <xdr:spPr>
        <a:xfrm>
          <a:off x="0" y="5010150"/>
          <a:ext cx="2428875" cy="371474"/>
        </a:xfrm>
        <a:prstGeom prst="rect">
          <a:avLst/>
        </a:prstGeom>
        <a:solidFill>
          <a:srgbClr val="0070C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bg1"/>
              </a:solidFill>
            </a:rPr>
            <a:t>Machine Rates</a:t>
          </a:r>
        </a:p>
      </xdr:txBody>
    </xdr:sp>
    <xdr:clientData/>
  </xdr:twoCellAnchor>
  <xdr:twoCellAnchor>
    <xdr:from>
      <xdr:col>1</xdr:col>
      <xdr:colOff>0</xdr:colOff>
      <xdr:row>73</xdr:row>
      <xdr:rowOff>0</xdr:rowOff>
    </xdr:from>
    <xdr:to>
      <xdr:col>4</xdr:col>
      <xdr:colOff>600075</xdr:colOff>
      <xdr:row>74</xdr:row>
      <xdr:rowOff>180974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72B3D9E5-DD36-4688-B325-B95F47883976}"/>
            </a:ext>
          </a:extLst>
        </xdr:cNvPr>
        <xdr:cNvSpPr/>
      </xdr:nvSpPr>
      <xdr:spPr>
        <a:xfrm>
          <a:off x="0" y="9191625"/>
          <a:ext cx="2428875" cy="371474"/>
        </a:xfrm>
        <a:prstGeom prst="rect">
          <a:avLst/>
        </a:prstGeom>
        <a:solidFill>
          <a:srgbClr val="7030A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chemeClr val="bg1"/>
              </a:solidFill>
            </a:rPr>
            <a:t>Tree volume estimation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4</xdr:col>
      <xdr:colOff>600075</xdr:colOff>
      <xdr:row>41</xdr:row>
      <xdr:rowOff>180974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3ABBF412-81EA-4593-9110-654BB690A09C}"/>
            </a:ext>
          </a:extLst>
        </xdr:cNvPr>
        <xdr:cNvSpPr/>
      </xdr:nvSpPr>
      <xdr:spPr>
        <a:xfrm>
          <a:off x="0" y="4048125"/>
          <a:ext cx="2428875" cy="371474"/>
        </a:xfrm>
        <a:prstGeom prst="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bg1"/>
              </a:solidFill>
            </a:rPr>
            <a:t>Cost Summary</a:t>
          </a:r>
        </a:p>
      </xdr:txBody>
    </xdr:sp>
    <xdr:clientData/>
  </xdr:twoCellAnchor>
  <xdr:twoCellAnchor>
    <xdr:from>
      <xdr:col>1</xdr:col>
      <xdr:colOff>0</xdr:colOff>
      <xdr:row>64</xdr:row>
      <xdr:rowOff>0</xdr:rowOff>
    </xdr:from>
    <xdr:to>
      <xdr:col>4</xdr:col>
      <xdr:colOff>600075</xdr:colOff>
      <xdr:row>65</xdr:row>
      <xdr:rowOff>180974</xdr:rowOff>
    </xdr:to>
    <xdr:sp macro="" textlink="">
      <xdr:nvSpPr>
        <xdr:cNvPr id="18" name="Rectangle 17">
          <a:extLst>
            <a:ext uri="{FF2B5EF4-FFF2-40B4-BE49-F238E27FC236}">
              <a16:creationId xmlns:a16="http://schemas.microsoft.com/office/drawing/2014/main" id="{09DA72DE-AB38-493E-8FEC-F1FA2F1B2CBD}"/>
            </a:ext>
          </a:extLst>
        </xdr:cNvPr>
        <xdr:cNvSpPr/>
      </xdr:nvSpPr>
      <xdr:spPr>
        <a:xfrm>
          <a:off x="0" y="7858125"/>
          <a:ext cx="2428875" cy="371474"/>
        </a:xfrm>
        <a:prstGeom prst="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tx1"/>
              </a:solidFill>
            </a:rPr>
            <a:t>Chipping &amp; Grinding</a:t>
          </a:r>
          <a:endParaRPr lang="en-US" sz="1800" b="1" baseline="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0</xdr:colOff>
      <xdr:row>68</xdr:row>
      <xdr:rowOff>9525</xdr:rowOff>
    </xdr:from>
    <xdr:to>
      <xdr:col>4</xdr:col>
      <xdr:colOff>600075</xdr:colOff>
      <xdr:row>69</xdr:row>
      <xdr:rowOff>190499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15031BE6-3A34-425D-A28B-DB0E3896FEED}"/>
            </a:ext>
          </a:extLst>
        </xdr:cNvPr>
        <xdr:cNvSpPr/>
      </xdr:nvSpPr>
      <xdr:spPr>
        <a:xfrm>
          <a:off x="0" y="8439150"/>
          <a:ext cx="2428875" cy="371474"/>
        </a:xfrm>
        <a:prstGeom prst="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tx1"/>
              </a:solidFill>
            </a:rPr>
            <a:t>Transportation</a:t>
          </a:r>
          <a:endParaRPr lang="en-US" sz="1800" b="1" baseline="0">
            <a:solidFill>
              <a:schemeClr val="tx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413498</xdr:colOff>
      <xdr:row>6</xdr:row>
      <xdr:rowOff>110719</xdr:rowOff>
    </xdr:from>
    <xdr:to>
      <xdr:col>28</xdr:col>
      <xdr:colOff>261097</xdr:colOff>
      <xdr:row>34</xdr:row>
      <xdr:rowOff>63837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417923-3EB9-4558-8295-A1BD8B36D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35922" y="1724366"/>
          <a:ext cx="5333999" cy="6855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499222</xdr:colOff>
      <xdr:row>25</xdr:row>
      <xdr:rowOff>124578</xdr:rowOff>
    </xdr:from>
    <xdr:to>
      <xdr:col>18</xdr:col>
      <xdr:colOff>565898</xdr:colOff>
      <xdr:row>25</xdr:row>
      <xdr:rowOff>134471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A72F4A16-6165-4D0A-81F5-35843EA5C35B}"/>
            </a:ext>
          </a:extLst>
        </xdr:cNvPr>
        <xdr:cNvCxnSpPr/>
      </xdr:nvCxnSpPr>
      <xdr:spPr>
        <a:xfrm flipV="1">
          <a:off x="6335246" y="6507449"/>
          <a:ext cx="4943476" cy="9893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209550</xdr:colOff>
      <xdr:row>175</xdr:row>
      <xdr:rowOff>76200</xdr:rowOff>
    </xdr:from>
    <xdr:to>
      <xdr:col>8</xdr:col>
      <xdr:colOff>342900</xdr:colOff>
      <xdr:row>193</xdr:row>
      <xdr:rowOff>114300</xdr:rowOff>
    </xdr:to>
    <xdr:sp macro="" textlink="">
      <xdr:nvSpPr>
        <xdr:cNvPr id="186" name="Rectangle: Rounded Corners 185">
          <a:extLst>
            <a:ext uri="{FF2B5EF4-FFF2-40B4-BE49-F238E27FC236}">
              <a16:creationId xmlns:a16="http://schemas.microsoft.com/office/drawing/2014/main" id="{A303548C-82E2-40DC-B808-7E22765D0883}"/>
            </a:ext>
          </a:extLst>
        </xdr:cNvPr>
        <xdr:cNvSpPr/>
      </xdr:nvSpPr>
      <xdr:spPr>
        <a:xfrm>
          <a:off x="11791950" y="18745200"/>
          <a:ext cx="2571750" cy="3467100"/>
        </a:xfrm>
        <a:prstGeom prst="roundRect">
          <a:avLst/>
        </a:prstGeom>
        <a:solidFill>
          <a:schemeClr val="accent1">
            <a:lumMod val="75000"/>
            <a:alpha val="1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20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51351</xdr:colOff>
      <xdr:row>13</xdr:row>
      <xdr:rowOff>147598</xdr:rowOff>
    </xdr:from>
    <xdr:to>
      <xdr:col>10</xdr:col>
      <xdr:colOff>579014</xdr:colOff>
      <xdr:row>15</xdr:row>
      <xdr:rowOff>173839</xdr:rowOff>
    </xdr:to>
    <xdr:sp macro="" textlink="">
      <xdr:nvSpPr>
        <xdr:cNvPr id="58" name="Rectangle: Rounded Corners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/>
      </xdr:nvSpPr>
      <xdr:spPr>
        <a:xfrm>
          <a:off x="14747065" y="2624098"/>
          <a:ext cx="1139985" cy="407241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/>
            <a:t>Extraction</a:t>
          </a:r>
        </a:p>
      </xdr:txBody>
    </xdr:sp>
    <xdr:clientData/>
  </xdr:twoCellAnchor>
  <xdr:twoCellAnchor>
    <xdr:from>
      <xdr:col>1</xdr:col>
      <xdr:colOff>0</xdr:colOff>
      <xdr:row>10</xdr:row>
      <xdr:rowOff>176893</xdr:rowOff>
    </xdr:from>
    <xdr:to>
      <xdr:col>1</xdr:col>
      <xdr:colOff>0</xdr:colOff>
      <xdr:row>22</xdr:row>
      <xdr:rowOff>46425</xdr:rowOff>
    </xdr:to>
    <xdr:cxnSp macro="">
      <xdr:nvCxnSpPr>
        <xdr:cNvPr id="77" name="Connector: Elbow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CxnSpPr>
          <a:stCxn id="14" idx="2"/>
          <a:endCxn id="3" idx="0"/>
        </xdr:cNvCxnSpPr>
      </xdr:nvCxnSpPr>
      <xdr:spPr>
        <a:xfrm rot="5400000">
          <a:off x="5570968" y="967151"/>
          <a:ext cx="2155532" cy="4385015"/>
        </a:xfrm>
        <a:prstGeom prst="bentConnector3">
          <a:avLst>
            <a:gd name="adj1" fmla="val 73357"/>
          </a:avLst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11</xdr:row>
      <xdr:rowOff>54426</xdr:rowOff>
    </xdr:from>
    <xdr:to>
      <xdr:col>1</xdr:col>
      <xdr:colOff>0</xdr:colOff>
      <xdr:row>22</xdr:row>
      <xdr:rowOff>46423</xdr:rowOff>
    </xdr:to>
    <xdr:cxnSp macro="">
      <xdr:nvCxnSpPr>
        <xdr:cNvPr id="73" name="Connector: Elbow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CxnSpPr>
          <a:stCxn id="12" idx="2"/>
          <a:endCxn id="3" idx="0"/>
        </xdr:cNvCxnSpPr>
      </xdr:nvCxnSpPr>
      <xdr:spPr>
        <a:xfrm rot="5400000">
          <a:off x="4229832" y="2376321"/>
          <a:ext cx="2087497" cy="1634708"/>
        </a:xfrm>
        <a:prstGeom prst="bentConnector3">
          <a:avLst>
            <a:gd name="adj1" fmla="val 72163"/>
          </a:avLst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11</xdr:row>
      <xdr:rowOff>54428</xdr:rowOff>
    </xdr:from>
    <xdr:to>
      <xdr:col>1</xdr:col>
      <xdr:colOff>0</xdr:colOff>
      <xdr:row>22</xdr:row>
      <xdr:rowOff>46423</xdr:rowOff>
    </xdr:to>
    <xdr:cxnSp macro="">
      <xdr:nvCxnSpPr>
        <xdr:cNvPr id="71" name="Connector: Elbow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CxnSpPr>
          <a:stCxn id="10" idx="2"/>
          <a:endCxn id="3" idx="0"/>
        </xdr:cNvCxnSpPr>
      </xdr:nvCxnSpPr>
      <xdr:spPr>
        <a:xfrm rot="16200000" flipH="1">
          <a:off x="3034937" y="2816134"/>
          <a:ext cx="2087495" cy="755083"/>
        </a:xfrm>
        <a:prstGeom prst="bentConnector3">
          <a:avLst>
            <a:gd name="adj1" fmla="val 72815"/>
          </a:avLst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0</xdr:row>
      <xdr:rowOff>98494</xdr:rowOff>
    </xdr:from>
    <xdr:to>
      <xdr:col>1</xdr:col>
      <xdr:colOff>0</xdr:colOff>
      <xdr:row>3</xdr:row>
      <xdr:rowOff>79444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812846" y="98494"/>
          <a:ext cx="2725511" cy="552450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/>
            <a:t>ThinCost_1.0</a:t>
          </a:r>
        </a:p>
      </xdr:txBody>
    </xdr:sp>
    <xdr:clientData/>
  </xdr:twoCellAnchor>
  <xdr:twoCellAnchor>
    <xdr:from>
      <xdr:col>1</xdr:col>
      <xdr:colOff>0</xdr:colOff>
      <xdr:row>22</xdr:row>
      <xdr:rowOff>46424</xdr:rowOff>
    </xdr:from>
    <xdr:to>
      <xdr:col>1</xdr:col>
      <xdr:colOff>0</xdr:colOff>
      <xdr:row>24</xdr:row>
      <xdr:rowOff>144217</xdr:rowOff>
    </xdr:to>
    <xdr:sp macro="" textlink="">
      <xdr:nvSpPr>
        <xdr:cNvPr id="3" name="Rectangle: Rounded Corners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401558" y="4237424"/>
          <a:ext cx="2109335" cy="47879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/>
            <a:t>Regression</a:t>
          </a:r>
          <a:r>
            <a:rPr lang="en-US" sz="1800" b="1" baseline="0"/>
            <a:t> models</a:t>
          </a:r>
          <a:endParaRPr lang="en-US" sz="1800" b="1"/>
        </a:p>
      </xdr:txBody>
    </xdr:sp>
    <xdr:clientData/>
  </xdr:twoCellAnchor>
  <xdr:twoCellAnchor>
    <xdr:from>
      <xdr:col>1</xdr:col>
      <xdr:colOff>0</xdr:colOff>
      <xdr:row>42</xdr:row>
      <xdr:rowOff>190198</xdr:rowOff>
    </xdr:from>
    <xdr:to>
      <xdr:col>1</xdr:col>
      <xdr:colOff>0</xdr:colOff>
      <xdr:row>48</xdr:row>
      <xdr:rowOff>95250</xdr:rowOff>
    </xdr:to>
    <xdr:sp macro="" textlink="">
      <xdr:nvSpPr>
        <xdr:cNvPr id="4" name="Rectangle: Rounded Corners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4245429" y="8191198"/>
          <a:ext cx="3651517" cy="1048052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400" b="1"/>
            <a:t>Forest thinning</a:t>
          </a:r>
          <a:r>
            <a:rPr lang="en-US" sz="2400" b="1" baseline="0"/>
            <a:t> cost ($/ton)</a:t>
          </a:r>
          <a:endParaRPr lang="en-US" sz="2400" b="1"/>
        </a:p>
      </xdr:txBody>
    </xdr:sp>
    <xdr:clientData/>
  </xdr:twoCellAnchor>
  <xdr:twoCellAnchor>
    <xdr:from>
      <xdr:col>1</xdr:col>
      <xdr:colOff>0</xdr:colOff>
      <xdr:row>4</xdr:row>
      <xdr:rowOff>155123</xdr:rowOff>
    </xdr:from>
    <xdr:to>
      <xdr:col>1</xdr:col>
      <xdr:colOff>0</xdr:colOff>
      <xdr:row>6</xdr:row>
      <xdr:rowOff>149679</xdr:rowOff>
    </xdr:to>
    <xdr:sp macro="" textlink="">
      <xdr:nvSpPr>
        <xdr:cNvPr id="5" name="Rectangle: Rounded Corners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5366658" y="917123"/>
          <a:ext cx="1436914" cy="37555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800" b="1"/>
            <a:t>Input values</a:t>
          </a:r>
        </a:p>
      </xdr:txBody>
    </xdr:sp>
    <xdr:clientData/>
  </xdr:twoCellAnchor>
  <xdr:twoCellAnchor>
    <xdr:from>
      <xdr:col>1</xdr:col>
      <xdr:colOff>0</xdr:colOff>
      <xdr:row>27</xdr:row>
      <xdr:rowOff>179316</xdr:rowOff>
    </xdr:from>
    <xdr:to>
      <xdr:col>1</xdr:col>
      <xdr:colOff>0</xdr:colOff>
      <xdr:row>31</xdr:row>
      <xdr:rowOff>68036</xdr:rowOff>
    </xdr:to>
    <xdr:sp macro="" textlink="">
      <xdr:nvSpPr>
        <xdr:cNvPr id="6" name="Rectangle: Rounded Corners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857998" y="5322816"/>
          <a:ext cx="1755323" cy="650720"/>
        </a:xfrm>
        <a:prstGeom prst="roundRect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2400" b="1" baseline="0"/>
            <a:t> </a:t>
          </a:r>
          <a:r>
            <a:rPr lang="en-US" sz="2400" b="1"/>
            <a:t>tons/cycle</a:t>
          </a:r>
        </a:p>
      </xdr:txBody>
    </xdr:sp>
    <xdr:clientData/>
  </xdr:twoCellAnchor>
  <xdr:twoCellAnchor>
    <xdr:from>
      <xdr:col>1</xdr:col>
      <xdr:colOff>0</xdr:colOff>
      <xdr:row>27</xdr:row>
      <xdr:rowOff>95611</xdr:rowOff>
    </xdr:from>
    <xdr:to>
      <xdr:col>1</xdr:col>
      <xdr:colOff>0</xdr:colOff>
      <xdr:row>31</xdr:row>
      <xdr:rowOff>136072</xdr:rowOff>
    </xdr:to>
    <xdr:sp macro="" textlink="">
      <xdr:nvSpPr>
        <xdr:cNvPr id="7" name="Rectangle: Rounded Corner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3469821" y="5239111"/>
          <a:ext cx="1986643" cy="802461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/>
            <a:t> Cycle time </a:t>
          </a:r>
        </a:p>
        <a:p>
          <a:pPr algn="ctr"/>
          <a:r>
            <a:rPr lang="en-US" sz="2000" b="1"/>
            <a:t>(cycles/PMH)</a:t>
          </a:r>
        </a:p>
      </xdr:txBody>
    </xdr:sp>
    <xdr:clientData/>
  </xdr:twoCellAnchor>
  <xdr:twoCellAnchor>
    <xdr:from>
      <xdr:col>1</xdr:col>
      <xdr:colOff>0</xdr:colOff>
      <xdr:row>38</xdr:row>
      <xdr:rowOff>76734</xdr:rowOff>
    </xdr:from>
    <xdr:to>
      <xdr:col>2</xdr:col>
      <xdr:colOff>285750</xdr:colOff>
      <xdr:row>42</xdr:row>
      <xdr:rowOff>136071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8591424" y="7315734"/>
          <a:ext cx="2103790" cy="821337"/>
        </a:xfrm>
        <a:prstGeom prst="roundRect">
          <a:avLst/>
        </a:prstGeom>
        <a:solidFill>
          <a:schemeClr val="accent6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2000" b="1"/>
            <a:t>Machine rates ($/PMH)</a:t>
          </a:r>
        </a:p>
      </xdr:txBody>
    </xdr:sp>
    <xdr:clientData/>
  </xdr:twoCellAnchor>
  <xdr:twoCellAnchor>
    <xdr:from>
      <xdr:col>1</xdr:col>
      <xdr:colOff>0</xdr:colOff>
      <xdr:row>34</xdr:row>
      <xdr:rowOff>33618</xdr:rowOff>
    </xdr:from>
    <xdr:to>
      <xdr:col>1</xdr:col>
      <xdr:colOff>0</xdr:colOff>
      <xdr:row>38</xdr:row>
      <xdr:rowOff>122464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5028085" y="6510618"/>
          <a:ext cx="2088450" cy="85084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2000" b="1"/>
            <a:t>Productivity (tons/PMH)</a:t>
          </a:r>
        </a:p>
      </xdr:txBody>
    </xdr:sp>
    <xdr:clientData/>
  </xdr:twoCellAnchor>
  <xdr:twoCellAnchor>
    <xdr:from>
      <xdr:col>1</xdr:col>
      <xdr:colOff>0</xdr:colOff>
      <xdr:row>9</xdr:row>
      <xdr:rowOff>27214</xdr:rowOff>
    </xdr:from>
    <xdr:to>
      <xdr:col>1</xdr:col>
      <xdr:colOff>0</xdr:colOff>
      <xdr:row>11</xdr:row>
      <xdr:rowOff>54429</xdr:rowOff>
    </xdr:to>
    <xdr:sp macro="" textlink="">
      <xdr:nvSpPr>
        <xdr:cNvPr id="10" name="Rectangle: Rounded Corners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2816679" y="1741714"/>
          <a:ext cx="1768928" cy="40821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600"/>
            <a:t>1. Stand variables</a:t>
          </a:r>
        </a:p>
      </xdr:txBody>
    </xdr:sp>
    <xdr:clientData/>
  </xdr:twoCellAnchor>
  <xdr:twoCellAnchor>
    <xdr:from>
      <xdr:col>1</xdr:col>
      <xdr:colOff>0</xdr:colOff>
      <xdr:row>9</xdr:row>
      <xdr:rowOff>23132</xdr:rowOff>
    </xdr:from>
    <xdr:to>
      <xdr:col>1</xdr:col>
      <xdr:colOff>0</xdr:colOff>
      <xdr:row>11</xdr:row>
      <xdr:rowOff>54427</xdr:rowOff>
    </xdr:to>
    <xdr:sp macro="" textlink="">
      <xdr:nvSpPr>
        <xdr:cNvPr id="12" name="Rectangle: Rounded Corners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4956475" y="1737632"/>
          <a:ext cx="2268917" cy="41229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600"/>
            <a:t>2. Operational variables</a:t>
          </a:r>
        </a:p>
      </xdr:txBody>
    </xdr:sp>
    <xdr:clientData/>
  </xdr:twoCellAnchor>
  <xdr:twoCellAnchor>
    <xdr:from>
      <xdr:col>1</xdr:col>
      <xdr:colOff>0</xdr:colOff>
      <xdr:row>13</xdr:row>
      <xdr:rowOff>138792</xdr:rowOff>
    </xdr:from>
    <xdr:to>
      <xdr:col>1</xdr:col>
      <xdr:colOff>0</xdr:colOff>
      <xdr:row>15</xdr:row>
      <xdr:rowOff>68036</xdr:rowOff>
    </xdr:to>
    <xdr:sp macro="" textlink="">
      <xdr:nvSpPr>
        <xdr:cNvPr id="13" name="Rectangle: Rounded Corners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7866708" y="2615292"/>
          <a:ext cx="1848792" cy="310244"/>
        </a:xfrm>
        <a:prstGeom prst="roundRect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400"/>
            <a:t>b. Harvesting system</a:t>
          </a:r>
        </a:p>
      </xdr:txBody>
    </xdr:sp>
    <xdr:clientData/>
  </xdr:twoCellAnchor>
  <xdr:twoCellAnchor>
    <xdr:from>
      <xdr:col>1</xdr:col>
      <xdr:colOff>0</xdr:colOff>
      <xdr:row>9</xdr:row>
      <xdr:rowOff>7327</xdr:rowOff>
    </xdr:from>
    <xdr:to>
      <xdr:col>1</xdr:col>
      <xdr:colOff>108856</xdr:colOff>
      <xdr:row>10</xdr:row>
      <xdr:rowOff>176892</xdr:rowOff>
    </xdr:to>
    <xdr:sp macro="" textlink="">
      <xdr:nvSpPr>
        <xdr:cNvPr id="14" name="Rectangle: Rounded Corner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7776482" y="1721827"/>
          <a:ext cx="2129517" cy="36006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600"/>
            <a:t>3. User selection</a:t>
          </a:r>
        </a:p>
      </xdr:txBody>
    </xdr:sp>
    <xdr:clientData/>
  </xdr:twoCellAnchor>
  <xdr:twoCellAnchor>
    <xdr:from>
      <xdr:col>1</xdr:col>
      <xdr:colOff>0</xdr:colOff>
      <xdr:row>11</xdr:row>
      <xdr:rowOff>114300</xdr:rowOff>
    </xdr:from>
    <xdr:to>
      <xdr:col>1</xdr:col>
      <xdr:colOff>0</xdr:colOff>
      <xdr:row>13</xdr:row>
      <xdr:rowOff>40821</xdr:rowOff>
    </xdr:to>
    <xdr:sp macro="" textlink="">
      <xdr:nvSpPr>
        <xdr:cNvPr id="15" name="Rectangle: Rounded Corners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884399" y="2209800"/>
          <a:ext cx="1844708" cy="307521"/>
        </a:xfrm>
        <a:prstGeom prst="roundRect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400"/>
            <a:t>a. Harvesting method</a:t>
          </a:r>
        </a:p>
      </xdr:txBody>
    </xdr:sp>
    <xdr:clientData/>
  </xdr:twoCellAnchor>
  <xdr:twoCellAnchor>
    <xdr:from>
      <xdr:col>1</xdr:col>
      <xdr:colOff>0</xdr:colOff>
      <xdr:row>6</xdr:row>
      <xdr:rowOff>149679</xdr:rowOff>
    </xdr:from>
    <xdr:to>
      <xdr:col>1</xdr:col>
      <xdr:colOff>0</xdr:colOff>
      <xdr:row>9</xdr:row>
      <xdr:rowOff>7327</xdr:rowOff>
    </xdr:to>
    <xdr:cxnSp macro="">
      <xdr:nvCxnSpPr>
        <xdr:cNvPr id="20" name="Connector: Elbow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CxnSpPr>
          <a:stCxn id="5" idx="2"/>
          <a:endCxn id="14" idx="0"/>
        </xdr:cNvCxnSpPr>
      </xdr:nvCxnSpPr>
      <xdr:spPr>
        <a:xfrm rot="16200000" flipH="1">
          <a:off x="7248604" y="129190"/>
          <a:ext cx="429148" cy="2756126"/>
        </a:xfrm>
        <a:prstGeom prst="bentConnector3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6</xdr:row>
      <xdr:rowOff>149678</xdr:rowOff>
    </xdr:from>
    <xdr:to>
      <xdr:col>1</xdr:col>
      <xdr:colOff>0</xdr:colOff>
      <xdr:row>9</xdr:row>
      <xdr:rowOff>27213</xdr:rowOff>
    </xdr:to>
    <xdr:cxnSp macro="">
      <xdr:nvCxnSpPr>
        <xdr:cNvPr id="21" name="Connector: Elbow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CxnSpPr>
          <a:stCxn id="5" idx="2"/>
          <a:endCxn id="10" idx="0"/>
        </xdr:cNvCxnSpPr>
      </xdr:nvCxnSpPr>
      <xdr:spPr>
        <a:xfrm rot="5400000">
          <a:off x="4668612" y="325210"/>
          <a:ext cx="449035" cy="2383972"/>
        </a:xfrm>
        <a:prstGeom prst="bentConnector3">
          <a:avLst>
            <a:gd name="adj1" fmla="val 50000"/>
          </a:avLst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16</xdr:row>
      <xdr:rowOff>42602</xdr:rowOff>
    </xdr:from>
    <xdr:to>
      <xdr:col>3</xdr:col>
      <xdr:colOff>0</xdr:colOff>
      <xdr:row>17</xdr:row>
      <xdr:rowOff>176893</xdr:rowOff>
    </xdr:to>
    <xdr:sp macro="" textlink="">
      <xdr:nvSpPr>
        <xdr:cNvPr id="25" name="Rectangle: Rounded Corners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7868592" y="3090602"/>
          <a:ext cx="3153194" cy="324791"/>
        </a:xfrm>
        <a:prstGeom prst="roundRect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400"/>
            <a:t>c. Thinning</a:t>
          </a:r>
          <a:r>
            <a:rPr lang="en-US" sz="1400" baseline="0"/>
            <a:t> intensity (tons/ha, trees/ha)</a:t>
          </a:r>
          <a:endParaRPr lang="en-US" sz="1400"/>
        </a:p>
      </xdr:txBody>
    </xdr:sp>
    <xdr:clientData/>
  </xdr:twoCellAnchor>
  <xdr:twoCellAnchor>
    <xdr:from>
      <xdr:col>1</xdr:col>
      <xdr:colOff>0</xdr:colOff>
      <xdr:row>11</xdr:row>
      <xdr:rowOff>142666</xdr:rowOff>
    </xdr:from>
    <xdr:to>
      <xdr:col>1</xdr:col>
      <xdr:colOff>0</xdr:colOff>
      <xdr:row>13</xdr:row>
      <xdr:rowOff>68035</xdr:rowOff>
    </xdr:to>
    <xdr:sp macro="" textlink="">
      <xdr:nvSpPr>
        <xdr:cNvPr id="26" name="Rectangle: Rounded Corners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5514140" y="2238166"/>
          <a:ext cx="1479931" cy="306369"/>
        </a:xfrm>
        <a:prstGeom prst="roundRect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400"/>
            <a:t>a. Ground slope</a:t>
          </a:r>
        </a:p>
      </xdr:txBody>
    </xdr:sp>
    <xdr:clientData/>
  </xdr:twoCellAnchor>
  <xdr:twoCellAnchor>
    <xdr:from>
      <xdr:col>1</xdr:col>
      <xdr:colOff>0</xdr:colOff>
      <xdr:row>14</xdr:row>
      <xdr:rowOff>41242</xdr:rowOff>
    </xdr:from>
    <xdr:to>
      <xdr:col>1</xdr:col>
      <xdr:colOff>0</xdr:colOff>
      <xdr:row>15</xdr:row>
      <xdr:rowOff>161927</xdr:rowOff>
    </xdr:to>
    <xdr:sp macro="" textlink="">
      <xdr:nvSpPr>
        <xdr:cNvPr id="27" name="Rectangle: Rounded Corners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3201552" y="2708242"/>
          <a:ext cx="1552886" cy="311185"/>
        </a:xfrm>
        <a:prstGeom prst="roundRect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400"/>
            <a:t>b. Average DBH</a:t>
          </a:r>
        </a:p>
      </xdr:txBody>
    </xdr:sp>
    <xdr:clientData/>
  </xdr:twoCellAnchor>
  <xdr:twoCellAnchor>
    <xdr:from>
      <xdr:col>1</xdr:col>
      <xdr:colOff>0</xdr:colOff>
      <xdr:row>12</xdr:row>
      <xdr:rowOff>40822</xdr:rowOff>
    </xdr:from>
    <xdr:to>
      <xdr:col>1</xdr:col>
      <xdr:colOff>0</xdr:colOff>
      <xdr:row>13</xdr:row>
      <xdr:rowOff>161507</xdr:rowOff>
    </xdr:to>
    <xdr:sp macro="" textlink="">
      <xdr:nvSpPr>
        <xdr:cNvPr id="28" name="Rectangle: Rounded Corners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200087" y="2326822"/>
          <a:ext cx="1426342" cy="311185"/>
        </a:xfrm>
        <a:prstGeom prst="roundRect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400"/>
            <a:t>a. Species</a:t>
          </a:r>
        </a:p>
      </xdr:txBody>
    </xdr:sp>
    <xdr:clientData/>
  </xdr:twoCellAnchor>
  <xdr:twoCellAnchor>
    <xdr:from>
      <xdr:col>1</xdr:col>
      <xdr:colOff>0</xdr:colOff>
      <xdr:row>16</xdr:row>
      <xdr:rowOff>69294</xdr:rowOff>
    </xdr:from>
    <xdr:to>
      <xdr:col>1</xdr:col>
      <xdr:colOff>0</xdr:colOff>
      <xdr:row>17</xdr:row>
      <xdr:rowOff>189979</xdr:rowOff>
    </xdr:to>
    <xdr:sp macro="" textlink="">
      <xdr:nvSpPr>
        <xdr:cNvPr id="29" name="Rectangle: Rounded Corners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3197155" y="3117294"/>
          <a:ext cx="2208365" cy="311185"/>
        </a:xfrm>
        <a:prstGeom prst="roundRect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400"/>
            <a:t>c. Thinning prescription</a:t>
          </a:r>
        </a:p>
      </xdr:txBody>
    </xdr:sp>
    <xdr:clientData/>
  </xdr:twoCellAnchor>
  <xdr:twoCellAnchor>
    <xdr:from>
      <xdr:col>1</xdr:col>
      <xdr:colOff>0</xdr:colOff>
      <xdr:row>13</xdr:row>
      <xdr:rowOff>181394</xdr:rowOff>
    </xdr:from>
    <xdr:to>
      <xdr:col>1</xdr:col>
      <xdr:colOff>0</xdr:colOff>
      <xdr:row>15</xdr:row>
      <xdr:rowOff>122464</xdr:rowOff>
    </xdr:to>
    <xdr:sp macro="" textlink="">
      <xdr:nvSpPr>
        <xdr:cNvPr id="30" name="Rectangle: Rounded Corners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5520419" y="2657894"/>
          <a:ext cx="1582510" cy="322070"/>
        </a:xfrm>
        <a:prstGeom prst="roundRect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400"/>
            <a:t>b. Travel distance</a:t>
          </a:r>
        </a:p>
      </xdr:txBody>
    </xdr:sp>
    <xdr:clientData/>
  </xdr:twoCellAnchor>
  <xdr:twoCellAnchor>
    <xdr:from>
      <xdr:col>1</xdr:col>
      <xdr:colOff>0</xdr:colOff>
      <xdr:row>16</xdr:row>
      <xdr:rowOff>82585</xdr:rowOff>
    </xdr:from>
    <xdr:to>
      <xdr:col>1</xdr:col>
      <xdr:colOff>0</xdr:colOff>
      <xdr:row>18</xdr:row>
      <xdr:rowOff>1</xdr:rowOff>
    </xdr:to>
    <xdr:sp macro="" textlink="">
      <xdr:nvSpPr>
        <xdr:cNvPr id="40" name="Rectangle: Rounded Corners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5505345" y="3130585"/>
          <a:ext cx="2196298" cy="298416"/>
        </a:xfrm>
        <a:prstGeom prst="roundRect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400"/>
            <a:t>c. #</a:t>
          </a:r>
          <a:r>
            <a:rPr lang="en-US" sz="1400" baseline="0"/>
            <a:t> of trees(logs) per cycle</a:t>
          </a:r>
          <a:endParaRPr lang="en-US" sz="1400"/>
        </a:p>
      </xdr:txBody>
    </xdr:sp>
    <xdr:clientData/>
  </xdr:twoCellAnchor>
  <xdr:twoCellAnchor>
    <xdr:from>
      <xdr:col>1</xdr:col>
      <xdr:colOff>0</xdr:colOff>
      <xdr:row>24</xdr:row>
      <xdr:rowOff>144217</xdr:rowOff>
    </xdr:from>
    <xdr:to>
      <xdr:col>1</xdr:col>
      <xdr:colOff>0</xdr:colOff>
      <xdr:row>27</xdr:row>
      <xdr:rowOff>95611</xdr:rowOff>
    </xdr:to>
    <xdr:cxnSp macro="">
      <xdr:nvCxnSpPr>
        <xdr:cNvPr id="53" name="Straight Arrow Connector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CxnSpPr>
          <a:stCxn id="3" idx="2"/>
          <a:endCxn id="7" idx="0"/>
        </xdr:cNvCxnSpPr>
      </xdr:nvCxnSpPr>
      <xdr:spPr>
        <a:xfrm>
          <a:off x="4456226" y="4716217"/>
          <a:ext cx="6917" cy="522894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29</xdr:row>
      <xdr:rowOff>115842</xdr:rowOff>
    </xdr:from>
    <xdr:to>
      <xdr:col>1</xdr:col>
      <xdr:colOff>0</xdr:colOff>
      <xdr:row>34</xdr:row>
      <xdr:rowOff>33618</xdr:rowOff>
    </xdr:to>
    <xdr:cxnSp macro="">
      <xdr:nvCxnSpPr>
        <xdr:cNvPr id="93" name="Connector: Elbow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CxnSpPr>
          <a:stCxn id="7" idx="3"/>
          <a:endCxn id="9" idx="0"/>
        </xdr:cNvCxnSpPr>
      </xdr:nvCxnSpPr>
      <xdr:spPr>
        <a:xfrm>
          <a:off x="5456464" y="5640342"/>
          <a:ext cx="615846" cy="870276"/>
        </a:xfrm>
        <a:prstGeom prst="bentConnector2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29</xdr:row>
      <xdr:rowOff>123676</xdr:rowOff>
    </xdr:from>
    <xdr:to>
      <xdr:col>1</xdr:col>
      <xdr:colOff>0</xdr:colOff>
      <xdr:row>34</xdr:row>
      <xdr:rowOff>33618</xdr:rowOff>
    </xdr:to>
    <xdr:cxnSp macro="">
      <xdr:nvCxnSpPr>
        <xdr:cNvPr id="94" name="Connector: Elbow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CxnSpPr>
          <a:stCxn id="6" idx="1"/>
          <a:endCxn id="9" idx="0"/>
        </xdr:cNvCxnSpPr>
      </xdr:nvCxnSpPr>
      <xdr:spPr>
        <a:xfrm rot="10800000" flipV="1">
          <a:off x="6072310" y="5648176"/>
          <a:ext cx="785688" cy="862442"/>
        </a:xfrm>
        <a:prstGeom prst="bentConnector2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359702</xdr:colOff>
      <xdr:row>1</xdr:row>
      <xdr:rowOff>16532</xdr:rowOff>
    </xdr:from>
    <xdr:to>
      <xdr:col>14</xdr:col>
      <xdr:colOff>394608</xdr:colOff>
      <xdr:row>3</xdr:row>
      <xdr:rowOff>187982</xdr:rowOff>
    </xdr:to>
    <xdr:sp macro="" textlink="">
      <xdr:nvSpPr>
        <xdr:cNvPr id="39" name="Rectangl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13830773" y="207032"/>
          <a:ext cx="4321156" cy="552450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2800" b="1" baseline="0"/>
            <a:t>Cycle time model Selection </a:t>
          </a:r>
          <a:endParaRPr lang="en-US" sz="2800" b="1"/>
        </a:p>
      </xdr:txBody>
    </xdr:sp>
    <xdr:clientData/>
  </xdr:twoCellAnchor>
  <xdr:twoCellAnchor>
    <xdr:from>
      <xdr:col>1</xdr:col>
      <xdr:colOff>0</xdr:colOff>
      <xdr:row>10</xdr:row>
      <xdr:rowOff>108858</xdr:rowOff>
    </xdr:from>
    <xdr:to>
      <xdr:col>1</xdr:col>
      <xdr:colOff>0</xdr:colOff>
      <xdr:row>14</xdr:row>
      <xdr:rowOff>27214</xdr:rowOff>
    </xdr:to>
    <xdr:sp macro="" textlink="">
      <xdr:nvSpPr>
        <xdr:cNvPr id="41" name="Rectangle: Rounded Corners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857250" y="2013858"/>
          <a:ext cx="1524000" cy="680356"/>
        </a:xfrm>
        <a:prstGeom prst="roundRect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/>
            <a:t>INPUT</a:t>
          </a:r>
        </a:p>
      </xdr:txBody>
    </xdr:sp>
    <xdr:clientData/>
  </xdr:twoCellAnchor>
  <xdr:twoCellAnchor>
    <xdr:from>
      <xdr:col>5</xdr:col>
      <xdr:colOff>470452</xdr:colOff>
      <xdr:row>13</xdr:row>
      <xdr:rowOff>163286</xdr:rowOff>
    </xdr:from>
    <xdr:to>
      <xdr:col>7</xdr:col>
      <xdr:colOff>394608</xdr:colOff>
      <xdr:row>15</xdr:row>
      <xdr:rowOff>189527</xdr:rowOff>
    </xdr:to>
    <xdr:sp macro="" textlink="">
      <xdr:nvSpPr>
        <xdr:cNvPr id="44" name="Rectangle: Rounded Corners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>
          <a:off x="12716881" y="2639786"/>
          <a:ext cx="1148798" cy="407241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/>
            <a:t>Felling</a:t>
          </a:r>
        </a:p>
      </xdr:txBody>
    </xdr:sp>
    <xdr:clientData/>
  </xdr:twoCellAnchor>
  <xdr:twoCellAnchor>
    <xdr:from>
      <xdr:col>9</xdr:col>
      <xdr:colOff>406494</xdr:colOff>
      <xdr:row>9</xdr:row>
      <xdr:rowOff>149677</xdr:rowOff>
    </xdr:from>
    <xdr:to>
      <xdr:col>12</xdr:col>
      <xdr:colOff>489856</xdr:colOff>
      <xdr:row>12</xdr:row>
      <xdr:rowOff>27914</xdr:rowOff>
    </xdr:to>
    <xdr:sp macro="" textlink="">
      <xdr:nvSpPr>
        <xdr:cNvPr id="47" name="Rectangle: Rounded Corners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>
          <a:off x="15102208" y="1864177"/>
          <a:ext cx="1920327" cy="449737"/>
        </a:xfrm>
        <a:prstGeom prst="roundRect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/>
            <a:t>Harvesting Method</a:t>
          </a:r>
        </a:p>
      </xdr:txBody>
    </xdr:sp>
    <xdr:clientData/>
  </xdr:twoCellAnchor>
  <xdr:twoCellAnchor>
    <xdr:from>
      <xdr:col>9</xdr:col>
      <xdr:colOff>393766</xdr:colOff>
      <xdr:row>6</xdr:row>
      <xdr:rowOff>108857</xdr:rowOff>
    </xdr:from>
    <xdr:to>
      <xdr:col>12</xdr:col>
      <xdr:colOff>489857</xdr:colOff>
      <xdr:row>8</xdr:row>
      <xdr:rowOff>137892</xdr:rowOff>
    </xdr:to>
    <xdr:sp macro="" textlink="">
      <xdr:nvSpPr>
        <xdr:cNvPr id="48" name="Rectangle: Rounded Corners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>
          <a:off x="15089480" y="1251857"/>
          <a:ext cx="1933056" cy="410035"/>
        </a:xfrm>
        <a:prstGeom prst="roundRect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/>
            <a:t>Machine</a:t>
          </a:r>
        </a:p>
      </xdr:txBody>
    </xdr:sp>
    <xdr:clientData/>
  </xdr:twoCellAnchor>
  <xdr:twoCellAnchor>
    <xdr:from>
      <xdr:col>6</xdr:col>
      <xdr:colOff>190157</xdr:colOff>
      <xdr:row>15</xdr:row>
      <xdr:rowOff>166979</xdr:rowOff>
    </xdr:from>
    <xdr:to>
      <xdr:col>8</xdr:col>
      <xdr:colOff>595566</xdr:colOff>
      <xdr:row>17</xdr:row>
      <xdr:rowOff>52679</xdr:rowOff>
    </xdr:to>
    <xdr:sp macro="" textlink="">
      <xdr:nvSpPr>
        <xdr:cNvPr id="50" name="Rectangle: Rounded Corners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13048907" y="3024479"/>
          <a:ext cx="1630052" cy="266700"/>
        </a:xfrm>
        <a:prstGeom prst="roundRect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400"/>
            <a:t>Average DBH</a:t>
          </a:r>
        </a:p>
      </xdr:txBody>
    </xdr:sp>
    <xdr:clientData/>
  </xdr:twoCellAnchor>
  <xdr:twoCellAnchor>
    <xdr:from>
      <xdr:col>6</xdr:col>
      <xdr:colOff>197951</xdr:colOff>
      <xdr:row>17</xdr:row>
      <xdr:rowOff>142166</xdr:rowOff>
    </xdr:from>
    <xdr:to>
      <xdr:col>8</xdr:col>
      <xdr:colOff>603360</xdr:colOff>
      <xdr:row>19</xdr:row>
      <xdr:rowOff>27866</xdr:rowOff>
    </xdr:to>
    <xdr:sp macro="" textlink="">
      <xdr:nvSpPr>
        <xdr:cNvPr id="51" name="Rectangle: Rounded Corners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13056701" y="3380666"/>
          <a:ext cx="1630052" cy="266700"/>
        </a:xfrm>
        <a:prstGeom prst="roundRect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400"/>
            <a:t>Thinning Intensity</a:t>
          </a:r>
        </a:p>
        <a:p>
          <a:pPr algn="l"/>
          <a:endParaRPr lang="en-US" sz="1400"/>
        </a:p>
      </xdr:txBody>
    </xdr:sp>
    <xdr:clientData/>
  </xdr:twoCellAnchor>
  <xdr:twoCellAnchor>
    <xdr:from>
      <xdr:col>6</xdr:col>
      <xdr:colOff>204675</xdr:colOff>
      <xdr:row>19</xdr:row>
      <xdr:rowOff>115272</xdr:rowOff>
    </xdr:from>
    <xdr:to>
      <xdr:col>9</xdr:col>
      <xdr:colOff>4967</xdr:colOff>
      <xdr:row>21</xdr:row>
      <xdr:rowOff>972</xdr:rowOff>
    </xdr:to>
    <xdr:sp macro="" textlink="">
      <xdr:nvSpPr>
        <xdr:cNvPr id="52" name="Rectangle: Rounded Corners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/>
      </xdr:nvSpPr>
      <xdr:spPr>
        <a:xfrm>
          <a:off x="13063425" y="3734772"/>
          <a:ext cx="1637256" cy="266700"/>
        </a:xfrm>
        <a:prstGeom prst="roundRect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400"/>
            <a:t>Ground</a:t>
          </a:r>
          <a:r>
            <a:rPr lang="en-US" sz="1400" baseline="0"/>
            <a:t> Slope</a:t>
          </a:r>
          <a:endParaRPr lang="en-US" sz="1400"/>
        </a:p>
      </xdr:txBody>
    </xdr:sp>
    <xdr:clientData/>
  </xdr:twoCellAnchor>
  <xdr:twoCellAnchor>
    <xdr:from>
      <xdr:col>9</xdr:col>
      <xdr:colOff>261715</xdr:colOff>
      <xdr:row>17</xdr:row>
      <xdr:rowOff>101666</xdr:rowOff>
    </xdr:from>
    <xdr:to>
      <xdr:col>12</xdr:col>
      <xdr:colOff>62006</xdr:colOff>
      <xdr:row>18</xdr:row>
      <xdr:rowOff>177866</xdr:rowOff>
    </xdr:to>
    <xdr:sp macro="" textlink="">
      <xdr:nvSpPr>
        <xdr:cNvPr id="55" name="Rectangle: Rounded Corners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/>
      </xdr:nvSpPr>
      <xdr:spPr>
        <a:xfrm>
          <a:off x="14957429" y="3340166"/>
          <a:ext cx="1637256" cy="266700"/>
        </a:xfrm>
        <a:prstGeom prst="roundRect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400"/>
            <a:t>Average DBH</a:t>
          </a:r>
        </a:p>
      </xdr:txBody>
    </xdr:sp>
    <xdr:clientData/>
  </xdr:twoCellAnchor>
  <xdr:twoCellAnchor>
    <xdr:from>
      <xdr:col>9</xdr:col>
      <xdr:colOff>255901</xdr:colOff>
      <xdr:row>15</xdr:row>
      <xdr:rowOff>151291</xdr:rowOff>
    </xdr:from>
    <xdr:to>
      <xdr:col>12</xdr:col>
      <xdr:colOff>56192</xdr:colOff>
      <xdr:row>17</xdr:row>
      <xdr:rowOff>36991</xdr:rowOff>
    </xdr:to>
    <xdr:sp macro="" textlink="">
      <xdr:nvSpPr>
        <xdr:cNvPr id="56" name="Rectangle: Rounded Corners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/>
      </xdr:nvSpPr>
      <xdr:spPr>
        <a:xfrm>
          <a:off x="14951615" y="3008791"/>
          <a:ext cx="1637256" cy="266700"/>
        </a:xfrm>
        <a:prstGeom prst="roundRect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400"/>
            <a:t>Extraction</a:t>
          </a:r>
          <a:r>
            <a:rPr lang="en-US" sz="1400" baseline="0"/>
            <a:t> distance</a:t>
          </a:r>
          <a:endParaRPr lang="en-US" sz="1400"/>
        </a:p>
        <a:p>
          <a:pPr algn="l"/>
          <a:endParaRPr lang="en-US" sz="1400"/>
        </a:p>
      </xdr:txBody>
    </xdr:sp>
    <xdr:clientData/>
  </xdr:twoCellAnchor>
  <xdr:twoCellAnchor>
    <xdr:from>
      <xdr:col>9</xdr:col>
      <xdr:colOff>289841</xdr:colOff>
      <xdr:row>19</xdr:row>
      <xdr:rowOff>58762</xdr:rowOff>
    </xdr:from>
    <xdr:to>
      <xdr:col>12</xdr:col>
      <xdr:colOff>90132</xdr:colOff>
      <xdr:row>20</xdr:row>
      <xdr:rowOff>134962</xdr:rowOff>
    </xdr:to>
    <xdr:sp macro="" textlink="">
      <xdr:nvSpPr>
        <xdr:cNvPr id="57" name="Rectangle: Rounded Corners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14985555" y="3678262"/>
          <a:ext cx="1637256" cy="266700"/>
        </a:xfrm>
        <a:prstGeom prst="roundRect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400"/>
            <a:t>Ground</a:t>
          </a:r>
          <a:r>
            <a:rPr lang="en-US" sz="1400" baseline="0"/>
            <a:t> Slope</a:t>
          </a:r>
          <a:endParaRPr lang="en-US" sz="1400"/>
        </a:p>
      </xdr:txBody>
    </xdr:sp>
    <xdr:clientData/>
  </xdr:twoCellAnchor>
  <xdr:twoCellAnchor>
    <xdr:from>
      <xdr:col>12</xdr:col>
      <xdr:colOff>293398</xdr:colOff>
      <xdr:row>13</xdr:row>
      <xdr:rowOff>165527</xdr:rowOff>
    </xdr:from>
    <xdr:to>
      <xdr:col>14</xdr:col>
      <xdr:colOff>217553</xdr:colOff>
      <xdr:row>16</xdr:row>
      <xdr:rowOff>1268</xdr:rowOff>
    </xdr:to>
    <xdr:sp macro="" textlink="">
      <xdr:nvSpPr>
        <xdr:cNvPr id="59" name="Rectangle: Rounded Corners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/>
      </xdr:nvSpPr>
      <xdr:spPr>
        <a:xfrm>
          <a:off x="16826077" y="2642027"/>
          <a:ext cx="1148797" cy="407241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/>
            <a:t>Processing</a:t>
          </a:r>
        </a:p>
      </xdr:txBody>
    </xdr:sp>
    <xdr:clientData/>
  </xdr:twoCellAnchor>
  <xdr:twoCellAnchor>
    <xdr:from>
      <xdr:col>12</xdr:col>
      <xdr:colOff>562081</xdr:colOff>
      <xdr:row>17</xdr:row>
      <xdr:rowOff>108857</xdr:rowOff>
    </xdr:from>
    <xdr:to>
      <xdr:col>15</xdr:col>
      <xdr:colOff>370168</xdr:colOff>
      <xdr:row>18</xdr:row>
      <xdr:rowOff>190499</xdr:rowOff>
    </xdr:to>
    <xdr:sp macro="" textlink="">
      <xdr:nvSpPr>
        <xdr:cNvPr id="60" name="Rectangle: Rounded Corners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/>
      </xdr:nvSpPr>
      <xdr:spPr>
        <a:xfrm>
          <a:off x="17094760" y="3347357"/>
          <a:ext cx="1645051" cy="272142"/>
        </a:xfrm>
        <a:prstGeom prst="roundRect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400"/>
            <a:t>#</a:t>
          </a:r>
          <a:r>
            <a:rPr lang="en-US" sz="1400" baseline="0"/>
            <a:t> of logs per tree</a:t>
          </a:r>
          <a:endParaRPr lang="en-US" sz="1400"/>
        </a:p>
      </xdr:txBody>
    </xdr:sp>
    <xdr:clientData/>
  </xdr:twoCellAnchor>
  <xdr:twoCellAnchor>
    <xdr:from>
      <xdr:col>12</xdr:col>
      <xdr:colOff>538179</xdr:colOff>
      <xdr:row>15</xdr:row>
      <xdr:rowOff>135601</xdr:rowOff>
    </xdr:from>
    <xdr:to>
      <xdr:col>15</xdr:col>
      <xdr:colOff>338470</xdr:colOff>
      <xdr:row>17</xdr:row>
      <xdr:rowOff>54428</xdr:rowOff>
    </xdr:to>
    <xdr:sp macro="" textlink="">
      <xdr:nvSpPr>
        <xdr:cNvPr id="61" name="Rectangle: Rounded Corners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/>
      </xdr:nvSpPr>
      <xdr:spPr>
        <a:xfrm>
          <a:off x="17070858" y="2993101"/>
          <a:ext cx="1637255" cy="299827"/>
        </a:xfrm>
        <a:prstGeom prst="roundRect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400"/>
            <a:t>Average DBH</a:t>
          </a:r>
        </a:p>
      </xdr:txBody>
    </xdr:sp>
    <xdr:clientData/>
  </xdr:twoCellAnchor>
  <xdr:twoCellAnchor>
    <xdr:from>
      <xdr:col>15</xdr:col>
      <xdr:colOff>378563</xdr:colOff>
      <xdr:row>13</xdr:row>
      <xdr:rowOff>138632</xdr:rowOff>
    </xdr:from>
    <xdr:to>
      <xdr:col>17</xdr:col>
      <xdr:colOff>302718</xdr:colOff>
      <xdr:row>15</xdr:row>
      <xdr:rowOff>164873</xdr:rowOff>
    </xdr:to>
    <xdr:sp macro="" textlink="">
      <xdr:nvSpPr>
        <xdr:cNvPr id="62" name="Rectangle: Rounded Corners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/>
      </xdr:nvSpPr>
      <xdr:spPr>
        <a:xfrm>
          <a:off x="18748206" y="2615132"/>
          <a:ext cx="1148798" cy="407241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/>
            <a:t>Loading</a:t>
          </a:r>
        </a:p>
      </xdr:txBody>
    </xdr:sp>
    <xdr:clientData/>
  </xdr:twoCellAnchor>
  <xdr:twoCellAnchor>
    <xdr:from>
      <xdr:col>15</xdr:col>
      <xdr:colOff>609737</xdr:colOff>
      <xdr:row>15</xdr:row>
      <xdr:rowOff>135921</xdr:rowOff>
    </xdr:from>
    <xdr:to>
      <xdr:col>18</xdr:col>
      <xdr:colOff>410028</xdr:colOff>
      <xdr:row>17</xdr:row>
      <xdr:rowOff>40820</xdr:rowOff>
    </xdr:to>
    <xdr:sp macro="" textlink="">
      <xdr:nvSpPr>
        <xdr:cNvPr id="64" name="Rectangle: Rounded Corners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/>
      </xdr:nvSpPr>
      <xdr:spPr>
        <a:xfrm>
          <a:off x="18979380" y="2993421"/>
          <a:ext cx="1637255" cy="285899"/>
        </a:xfrm>
        <a:prstGeom prst="roundRect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400"/>
            <a:t>Average DBH</a:t>
          </a:r>
        </a:p>
      </xdr:txBody>
    </xdr:sp>
    <xdr:clientData/>
  </xdr:twoCellAnchor>
  <xdr:twoCellAnchor>
    <xdr:from>
      <xdr:col>7</xdr:col>
      <xdr:colOff>198466</xdr:colOff>
      <xdr:row>30</xdr:row>
      <xdr:rowOff>34246</xdr:rowOff>
    </xdr:from>
    <xdr:to>
      <xdr:col>10</xdr:col>
      <xdr:colOff>544285</xdr:colOff>
      <xdr:row>32</xdr:row>
      <xdr:rowOff>108856</xdr:rowOff>
    </xdr:to>
    <xdr:sp macro="" textlink="">
      <xdr:nvSpPr>
        <xdr:cNvPr id="65" name="Rectangle: Rounded Corners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/>
      </xdr:nvSpPr>
      <xdr:spPr>
        <a:xfrm>
          <a:off x="13669537" y="5749246"/>
          <a:ext cx="2182784" cy="45561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/>
            <a:t>Cycle</a:t>
          </a:r>
          <a:r>
            <a:rPr lang="en-US" sz="1600" baseline="0"/>
            <a:t> time equation</a:t>
          </a:r>
          <a:endParaRPr lang="en-US" sz="1600"/>
        </a:p>
      </xdr:txBody>
    </xdr:sp>
    <xdr:clientData/>
  </xdr:twoCellAnchor>
  <xdr:twoCellAnchor>
    <xdr:from>
      <xdr:col>9</xdr:col>
      <xdr:colOff>197409</xdr:colOff>
      <xdr:row>31</xdr:row>
      <xdr:rowOff>176668</xdr:rowOff>
    </xdr:from>
    <xdr:to>
      <xdr:col>11</xdr:col>
      <xdr:colOff>95249</xdr:colOff>
      <xdr:row>33</xdr:row>
      <xdr:rowOff>163286</xdr:rowOff>
    </xdr:to>
    <xdr:sp macro="" textlink="">
      <xdr:nvSpPr>
        <xdr:cNvPr id="66" name="Rectangle: Rounded Corners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/>
      </xdr:nvSpPr>
      <xdr:spPr>
        <a:xfrm>
          <a:off x="14893123" y="6082168"/>
          <a:ext cx="1122483" cy="367618"/>
        </a:xfrm>
        <a:prstGeom prst="roundRect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400"/>
            <a:t>Input</a:t>
          </a:r>
          <a:r>
            <a:rPr lang="en-US" sz="1400" baseline="0"/>
            <a:t> values</a:t>
          </a:r>
          <a:endParaRPr lang="en-US" sz="1400"/>
        </a:p>
      </xdr:txBody>
    </xdr:sp>
    <xdr:clientData/>
  </xdr:twoCellAnchor>
  <xdr:twoCellAnchor>
    <xdr:from>
      <xdr:col>7</xdr:col>
      <xdr:colOff>186780</xdr:colOff>
      <xdr:row>35</xdr:row>
      <xdr:rowOff>32965</xdr:rowOff>
    </xdr:from>
    <xdr:to>
      <xdr:col>10</xdr:col>
      <xdr:colOff>557891</xdr:colOff>
      <xdr:row>37</xdr:row>
      <xdr:rowOff>40821</xdr:rowOff>
    </xdr:to>
    <xdr:sp macro="" textlink="">
      <xdr:nvSpPr>
        <xdr:cNvPr id="68" name="Rectangle: Rounded Corners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/>
      </xdr:nvSpPr>
      <xdr:spPr>
        <a:xfrm>
          <a:off x="13657851" y="6700465"/>
          <a:ext cx="2208076" cy="38885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/>
            <a:t>Cycle time</a:t>
          </a:r>
          <a:r>
            <a:rPr lang="en-US" sz="1600" baseline="0"/>
            <a:t> (min/turn)</a:t>
          </a:r>
          <a:endParaRPr lang="en-US" sz="1600"/>
        </a:p>
      </xdr:txBody>
    </xdr:sp>
    <xdr:clientData/>
  </xdr:twoCellAnchor>
  <xdr:twoCellAnchor>
    <xdr:from>
      <xdr:col>1</xdr:col>
      <xdr:colOff>0</xdr:colOff>
      <xdr:row>38</xdr:row>
      <xdr:rowOff>122464</xdr:rowOff>
    </xdr:from>
    <xdr:to>
      <xdr:col>1</xdr:col>
      <xdr:colOff>0</xdr:colOff>
      <xdr:row>42</xdr:row>
      <xdr:rowOff>190198</xdr:rowOff>
    </xdr:to>
    <xdr:cxnSp macro="">
      <xdr:nvCxnSpPr>
        <xdr:cNvPr id="22" name="Straight Arrow Connector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CxnSpPr>
          <a:stCxn id="9" idx="2"/>
          <a:endCxn id="4" idx="0"/>
        </xdr:cNvCxnSpPr>
      </xdr:nvCxnSpPr>
      <xdr:spPr>
        <a:xfrm flipH="1">
          <a:off x="6071188" y="7361464"/>
          <a:ext cx="1122" cy="829734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40</xdr:row>
      <xdr:rowOff>106402</xdr:rowOff>
    </xdr:from>
    <xdr:to>
      <xdr:col>1</xdr:col>
      <xdr:colOff>0</xdr:colOff>
      <xdr:row>42</xdr:row>
      <xdr:rowOff>190197</xdr:rowOff>
    </xdr:to>
    <xdr:cxnSp macro="">
      <xdr:nvCxnSpPr>
        <xdr:cNvPr id="37" name="Connector: Elbow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CxnSpPr>
          <a:stCxn id="8" idx="1"/>
          <a:endCxn id="4" idx="0"/>
        </xdr:cNvCxnSpPr>
      </xdr:nvCxnSpPr>
      <xdr:spPr>
        <a:xfrm rot="10800000" flipV="1">
          <a:off x="6071188" y="7726402"/>
          <a:ext cx="2520236" cy="464795"/>
        </a:xfrm>
        <a:prstGeom prst="bentConnector2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24</xdr:row>
      <xdr:rowOff>122463</xdr:rowOff>
    </xdr:from>
    <xdr:to>
      <xdr:col>1</xdr:col>
      <xdr:colOff>0</xdr:colOff>
      <xdr:row>30</xdr:row>
      <xdr:rowOff>81642</xdr:rowOff>
    </xdr:to>
    <xdr:sp macro="" textlink="">
      <xdr:nvSpPr>
        <xdr:cNvPr id="72" name="Rectangle: Rounded Corners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/>
      </xdr:nvSpPr>
      <xdr:spPr>
        <a:xfrm>
          <a:off x="826033" y="4694463"/>
          <a:ext cx="1732110" cy="1102179"/>
        </a:xfrm>
        <a:prstGeom prst="roundRect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 baseline="0"/>
            <a:t>Machine Productivity calculation</a:t>
          </a:r>
          <a:endParaRPr lang="en-US" sz="2000" b="1"/>
        </a:p>
      </xdr:txBody>
    </xdr:sp>
    <xdr:clientData/>
  </xdr:twoCellAnchor>
  <xdr:twoCellAnchor>
    <xdr:from>
      <xdr:col>1</xdr:col>
      <xdr:colOff>0</xdr:colOff>
      <xdr:row>40</xdr:row>
      <xdr:rowOff>13607</xdr:rowOff>
    </xdr:from>
    <xdr:to>
      <xdr:col>1</xdr:col>
      <xdr:colOff>0</xdr:colOff>
      <xdr:row>45</xdr:row>
      <xdr:rowOff>51548</xdr:rowOff>
    </xdr:to>
    <xdr:sp macro="" textlink="">
      <xdr:nvSpPr>
        <xdr:cNvPr id="74" name="Rectangle: Rounded Corners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/>
      </xdr:nvSpPr>
      <xdr:spPr>
        <a:xfrm>
          <a:off x="887186" y="7633607"/>
          <a:ext cx="1725386" cy="990441"/>
        </a:xfrm>
        <a:prstGeom prst="roundRect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 baseline="0"/>
            <a:t>Forest thinning cost</a:t>
          </a:r>
          <a:endParaRPr lang="en-US" sz="2000" b="1"/>
        </a:p>
      </xdr:txBody>
    </xdr:sp>
    <xdr:clientData/>
  </xdr:twoCellAnchor>
  <xdr:twoCellAnchor>
    <xdr:from>
      <xdr:col>1</xdr:col>
      <xdr:colOff>0</xdr:colOff>
      <xdr:row>19</xdr:row>
      <xdr:rowOff>40821</xdr:rowOff>
    </xdr:from>
    <xdr:to>
      <xdr:col>1</xdr:col>
      <xdr:colOff>0</xdr:colOff>
      <xdr:row>27</xdr:row>
      <xdr:rowOff>179316</xdr:rowOff>
    </xdr:to>
    <xdr:cxnSp macro="">
      <xdr:nvCxnSpPr>
        <xdr:cNvPr id="90" name="Straight Arrow Connector 89">
          <a:extLst>
            <a:ext uri="{FF2B5EF4-FFF2-40B4-BE49-F238E27FC236}">
              <a16:creationId xmlns:a16="http://schemas.microsoft.com/office/drawing/2014/main" id="{FE6DF5F0-718A-4167-A1D5-DE631A4DDF51}"/>
            </a:ext>
          </a:extLst>
        </xdr:cNvPr>
        <xdr:cNvCxnSpPr>
          <a:endCxn id="6" idx="0"/>
        </xdr:cNvCxnSpPr>
      </xdr:nvCxnSpPr>
      <xdr:spPr>
        <a:xfrm>
          <a:off x="7728857" y="3660321"/>
          <a:ext cx="6803" cy="166249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6</xdr:row>
      <xdr:rowOff>149678</xdr:rowOff>
    </xdr:from>
    <xdr:to>
      <xdr:col>1</xdr:col>
      <xdr:colOff>0</xdr:colOff>
      <xdr:row>9</xdr:row>
      <xdr:rowOff>23131</xdr:rowOff>
    </xdr:to>
    <xdr:cxnSp macro="">
      <xdr:nvCxnSpPr>
        <xdr:cNvPr id="75" name="Connector: Elbow 74">
          <a:extLst>
            <a:ext uri="{FF2B5EF4-FFF2-40B4-BE49-F238E27FC236}">
              <a16:creationId xmlns:a16="http://schemas.microsoft.com/office/drawing/2014/main" id="{DE3A9AF8-E143-47AC-8DAE-7D53C2DA0B17}"/>
            </a:ext>
          </a:extLst>
        </xdr:cNvPr>
        <xdr:cNvCxnSpPr>
          <a:stCxn id="5" idx="2"/>
          <a:endCxn id="12" idx="0"/>
        </xdr:cNvCxnSpPr>
      </xdr:nvCxnSpPr>
      <xdr:spPr>
        <a:xfrm rot="16200000" flipH="1">
          <a:off x="5865548" y="1512245"/>
          <a:ext cx="444953" cy="5819"/>
        </a:xfrm>
        <a:prstGeom prst="bentConnector3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65215</xdr:colOff>
      <xdr:row>32</xdr:row>
      <xdr:rowOff>108856</xdr:rowOff>
    </xdr:from>
    <xdr:to>
      <xdr:col>9</xdr:col>
      <xdr:colOff>66175</xdr:colOff>
      <xdr:row>35</xdr:row>
      <xdr:rowOff>32965</xdr:rowOff>
    </xdr:to>
    <xdr:cxnSp macro="">
      <xdr:nvCxnSpPr>
        <xdr:cNvPr id="126" name="Straight Arrow Connector 125">
          <a:extLst>
            <a:ext uri="{FF2B5EF4-FFF2-40B4-BE49-F238E27FC236}">
              <a16:creationId xmlns:a16="http://schemas.microsoft.com/office/drawing/2014/main" id="{703B8303-787A-4541-A7D3-072D5AC05F24}"/>
            </a:ext>
          </a:extLst>
        </xdr:cNvPr>
        <xdr:cNvCxnSpPr>
          <a:stCxn id="65" idx="2"/>
          <a:endCxn id="68" idx="0"/>
        </xdr:cNvCxnSpPr>
      </xdr:nvCxnSpPr>
      <xdr:spPr>
        <a:xfrm>
          <a:off x="14760929" y="6204856"/>
          <a:ext cx="960" cy="495609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175895</xdr:colOff>
      <xdr:row>40</xdr:row>
      <xdr:rowOff>35686</xdr:rowOff>
    </xdr:from>
    <xdr:to>
      <xdr:col>10</xdr:col>
      <xdr:colOff>547006</xdr:colOff>
      <xdr:row>42</xdr:row>
      <xdr:rowOff>43542</xdr:rowOff>
    </xdr:to>
    <xdr:sp macro="" textlink="">
      <xdr:nvSpPr>
        <xdr:cNvPr id="129" name="Rectangle: Rounded Corners 128">
          <a:extLst>
            <a:ext uri="{FF2B5EF4-FFF2-40B4-BE49-F238E27FC236}">
              <a16:creationId xmlns:a16="http://schemas.microsoft.com/office/drawing/2014/main" id="{67350605-095F-4205-B663-349CC2211E9E}"/>
            </a:ext>
          </a:extLst>
        </xdr:cNvPr>
        <xdr:cNvSpPr/>
      </xdr:nvSpPr>
      <xdr:spPr>
        <a:xfrm>
          <a:off x="13646966" y="7655686"/>
          <a:ext cx="2208076" cy="38885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/>
            <a:t>Cycles/</a:t>
          </a:r>
          <a:r>
            <a:rPr lang="en-US" sz="1600" baseline="0"/>
            <a:t>PMH</a:t>
          </a:r>
          <a:endParaRPr lang="en-US" sz="1600"/>
        </a:p>
      </xdr:txBody>
    </xdr:sp>
    <xdr:clientData/>
  </xdr:twoCellAnchor>
  <xdr:twoCellAnchor>
    <xdr:from>
      <xdr:col>9</xdr:col>
      <xdr:colOff>55290</xdr:colOff>
      <xdr:row>37</xdr:row>
      <xdr:rowOff>40821</xdr:rowOff>
    </xdr:from>
    <xdr:to>
      <xdr:col>9</xdr:col>
      <xdr:colOff>66175</xdr:colOff>
      <xdr:row>40</xdr:row>
      <xdr:rowOff>35686</xdr:rowOff>
    </xdr:to>
    <xdr:cxnSp macro="">
      <xdr:nvCxnSpPr>
        <xdr:cNvPr id="130" name="Straight Arrow Connector 129">
          <a:extLst>
            <a:ext uri="{FF2B5EF4-FFF2-40B4-BE49-F238E27FC236}">
              <a16:creationId xmlns:a16="http://schemas.microsoft.com/office/drawing/2014/main" id="{312869CD-DD92-4F09-BDFC-A2F764BE13D8}"/>
            </a:ext>
          </a:extLst>
        </xdr:cNvPr>
        <xdr:cNvCxnSpPr>
          <a:stCxn id="68" idx="2"/>
          <a:endCxn id="129" idx="0"/>
        </xdr:cNvCxnSpPr>
      </xdr:nvCxnSpPr>
      <xdr:spPr>
        <a:xfrm flipH="1">
          <a:off x="14751004" y="7089321"/>
          <a:ext cx="10885" cy="56636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268166</xdr:colOff>
      <xdr:row>36</xdr:row>
      <xdr:rowOff>165782</xdr:rowOff>
    </xdr:from>
    <xdr:to>
      <xdr:col>11</xdr:col>
      <xdr:colOff>166006</xdr:colOff>
      <xdr:row>38</xdr:row>
      <xdr:rowOff>152400</xdr:rowOff>
    </xdr:to>
    <xdr:sp macro="" textlink="">
      <xdr:nvSpPr>
        <xdr:cNvPr id="134" name="Rectangle: Rounded Corners 133">
          <a:extLst>
            <a:ext uri="{FF2B5EF4-FFF2-40B4-BE49-F238E27FC236}">
              <a16:creationId xmlns:a16="http://schemas.microsoft.com/office/drawing/2014/main" id="{88243508-82C5-48D1-908B-D40C2C9330B9}"/>
            </a:ext>
          </a:extLst>
        </xdr:cNvPr>
        <xdr:cNvSpPr/>
      </xdr:nvSpPr>
      <xdr:spPr>
        <a:xfrm>
          <a:off x="14963880" y="7023782"/>
          <a:ext cx="1122483" cy="367618"/>
        </a:xfrm>
        <a:prstGeom prst="roundRect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400"/>
            <a:t>Average</a:t>
          </a:r>
        </a:p>
      </xdr:txBody>
    </xdr:sp>
    <xdr:clientData/>
  </xdr:twoCellAnchor>
  <xdr:twoCellAnchor>
    <xdr:from>
      <xdr:col>12</xdr:col>
      <xdr:colOff>146758</xdr:colOff>
      <xdr:row>30</xdr:row>
      <xdr:rowOff>9753</xdr:rowOff>
    </xdr:from>
    <xdr:to>
      <xdr:col>15</xdr:col>
      <xdr:colOff>492578</xdr:colOff>
      <xdr:row>32</xdr:row>
      <xdr:rowOff>84363</xdr:rowOff>
    </xdr:to>
    <xdr:sp macro="" textlink="">
      <xdr:nvSpPr>
        <xdr:cNvPr id="137" name="Rectangle: Rounded Corners 136">
          <a:extLst>
            <a:ext uri="{FF2B5EF4-FFF2-40B4-BE49-F238E27FC236}">
              <a16:creationId xmlns:a16="http://schemas.microsoft.com/office/drawing/2014/main" id="{3BF74F83-D6E8-41C1-AF27-3FA60E9347FD}"/>
            </a:ext>
          </a:extLst>
        </xdr:cNvPr>
        <xdr:cNvSpPr/>
      </xdr:nvSpPr>
      <xdr:spPr>
        <a:xfrm>
          <a:off x="16679437" y="5724753"/>
          <a:ext cx="2182784" cy="45561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/>
            <a:t>Average</a:t>
          </a:r>
          <a:r>
            <a:rPr lang="en-US" sz="1600" baseline="0"/>
            <a:t> tree volume</a:t>
          </a:r>
          <a:endParaRPr lang="en-US" sz="1600"/>
        </a:p>
      </xdr:txBody>
    </xdr:sp>
    <xdr:clientData/>
  </xdr:twoCellAnchor>
  <xdr:twoCellAnchor>
    <xdr:from>
      <xdr:col>12</xdr:col>
      <xdr:colOff>135072</xdr:colOff>
      <xdr:row>34</xdr:row>
      <xdr:rowOff>158151</xdr:rowOff>
    </xdr:from>
    <xdr:to>
      <xdr:col>15</xdr:col>
      <xdr:colOff>506184</xdr:colOff>
      <xdr:row>37</xdr:row>
      <xdr:rowOff>13607</xdr:rowOff>
    </xdr:to>
    <xdr:sp macro="" textlink="">
      <xdr:nvSpPr>
        <xdr:cNvPr id="138" name="Rectangle: Rounded Corners 137">
          <a:extLst>
            <a:ext uri="{FF2B5EF4-FFF2-40B4-BE49-F238E27FC236}">
              <a16:creationId xmlns:a16="http://schemas.microsoft.com/office/drawing/2014/main" id="{29350972-5C23-4A6C-8A13-23DFF4381408}"/>
            </a:ext>
          </a:extLst>
        </xdr:cNvPr>
        <xdr:cNvSpPr/>
      </xdr:nvSpPr>
      <xdr:spPr>
        <a:xfrm>
          <a:off x="16667751" y="6635151"/>
          <a:ext cx="2208076" cy="42695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/>
            <a:t>Trees/</a:t>
          </a:r>
          <a:r>
            <a:rPr lang="en-US" sz="1600" baseline="0"/>
            <a:t>cycle</a:t>
          </a:r>
          <a:endParaRPr lang="en-US" sz="1600"/>
        </a:p>
      </xdr:txBody>
    </xdr:sp>
    <xdr:clientData/>
  </xdr:twoCellAnchor>
  <xdr:twoCellAnchor>
    <xdr:from>
      <xdr:col>12</xdr:col>
      <xdr:colOff>137793</xdr:colOff>
      <xdr:row>39</xdr:row>
      <xdr:rowOff>188087</xdr:rowOff>
    </xdr:from>
    <xdr:to>
      <xdr:col>15</xdr:col>
      <xdr:colOff>508905</xdr:colOff>
      <xdr:row>42</xdr:row>
      <xdr:rowOff>5443</xdr:rowOff>
    </xdr:to>
    <xdr:sp macro="" textlink="">
      <xdr:nvSpPr>
        <xdr:cNvPr id="139" name="Rectangle: Rounded Corners 138">
          <a:extLst>
            <a:ext uri="{FF2B5EF4-FFF2-40B4-BE49-F238E27FC236}">
              <a16:creationId xmlns:a16="http://schemas.microsoft.com/office/drawing/2014/main" id="{279325C4-4377-4379-B268-749072660168}"/>
            </a:ext>
          </a:extLst>
        </xdr:cNvPr>
        <xdr:cNvSpPr/>
      </xdr:nvSpPr>
      <xdr:spPr>
        <a:xfrm>
          <a:off x="16670472" y="7617587"/>
          <a:ext cx="2208076" cy="38885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/>
            <a:t>Volume/cycle</a:t>
          </a:r>
        </a:p>
      </xdr:txBody>
    </xdr:sp>
    <xdr:clientData/>
  </xdr:twoCellAnchor>
  <xdr:twoCellAnchor>
    <xdr:from>
      <xdr:col>14</xdr:col>
      <xdr:colOff>298101</xdr:colOff>
      <xdr:row>36</xdr:row>
      <xdr:rowOff>114075</xdr:rowOff>
    </xdr:from>
    <xdr:to>
      <xdr:col>17</xdr:col>
      <xdr:colOff>217713</xdr:colOff>
      <xdr:row>38</xdr:row>
      <xdr:rowOff>100693</xdr:rowOff>
    </xdr:to>
    <xdr:sp macro="" textlink="">
      <xdr:nvSpPr>
        <xdr:cNvPr id="140" name="Rectangle: Rounded Corners 139">
          <a:extLst>
            <a:ext uri="{FF2B5EF4-FFF2-40B4-BE49-F238E27FC236}">
              <a16:creationId xmlns:a16="http://schemas.microsoft.com/office/drawing/2014/main" id="{1CAC1193-D079-46E3-A610-20E70C876C7B}"/>
            </a:ext>
          </a:extLst>
        </xdr:cNvPr>
        <xdr:cNvSpPr/>
      </xdr:nvSpPr>
      <xdr:spPr>
        <a:xfrm>
          <a:off x="18055422" y="6972075"/>
          <a:ext cx="1756577" cy="367618"/>
        </a:xfrm>
        <a:prstGeom prst="roundRect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400"/>
            <a:t>Regression equation</a:t>
          </a:r>
        </a:p>
      </xdr:txBody>
    </xdr:sp>
    <xdr:clientData/>
  </xdr:twoCellAnchor>
  <xdr:twoCellAnchor>
    <xdr:from>
      <xdr:col>14</xdr:col>
      <xdr:colOff>13508</xdr:colOff>
      <xdr:row>32</xdr:row>
      <xdr:rowOff>84363</xdr:rowOff>
    </xdr:from>
    <xdr:to>
      <xdr:col>14</xdr:col>
      <xdr:colOff>14468</xdr:colOff>
      <xdr:row>34</xdr:row>
      <xdr:rowOff>158151</xdr:rowOff>
    </xdr:to>
    <xdr:cxnSp macro="">
      <xdr:nvCxnSpPr>
        <xdr:cNvPr id="141" name="Straight Arrow Connector 140">
          <a:extLst>
            <a:ext uri="{FF2B5EF4-FFF2-40B4-BE49-F238E27FC236}">
              <a16:creationId xmlns:a16="http://schemas.microsoft.com/office/drawing/2014/main" id="{92B2B67A-3CB1-4DB8-84C8-54A279516772}"/>
            </a:ext>
          </a:extLst>
        </xdr:cNvPr>
        <xdr:cNvCxnSpPr>
          <a:stCxn id="137" idx="2"/>
          <a:endCxn id="138" idx="0"/>
        </xdr:cNvCxnSpPr>
      </xdr:nvCxnSpPr>
      <xdr:spPr>
        <a:xfrm>
          <a:off x="17770829" y="6180363"/>
          <a:ext cx="960" cy="454788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14468</xdr:colOff>
      <xdr:row>37</xdr:row>
      <xdr:rowOff>13607</xdr:rowOff>
    </xdr:from>
    <xdr:to>
      <xdr:col>14</xdr:col>
      <xdr:colOff>17189</xdr:colOff>
      <xdr:row>39</xdr:row>
      <xdr:rowOff>188087</xdr:rowOff>
    </xdr:to>
    <xdr:cxnSp macro="">
      <xdr:nvCxnSpPr>
        <xdr:cNvPr id="144" name="Straight Arrow Connector 143">
          <a:extLst>
            <a:ext uri="{FF2B5EF4-FFF2-40B4-BE49-F238E27FC236}">
              <a16:creationId xmlns:a16="http://schemas.microsoft.com/office/drawing/2014/main" id="{A675491A-C1F4-4A0B-8CBE-2039B460B81D}"/>
            </a:ext>
          </a:extLst>
        </xdr:cNvPr>
        <xdr:cNvCxnSpPr>
          <a:stCxn id="138" idx="2"/>
          <a:endCxn id="139" idx="0"/>
        </xdr:cNvCxnSpPr>
      </xdr:nvCxnSpPr>
      <xdr:spPr>
        <a:xfrm>
          <a:off x="17771789" y="7062107"/>
          <a:ext cx="2721" cy="55548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548730</xdr:colOff>
      <xdr:row>45</xdr:row>
      <xdr:rowOff>149987</xdr:rowOff>
    </xdr:from>
    <xdr:to>
      <xdr:col>13</xdr:col>
      <xdr:colOff>307520</xdr:colOff>
      <xdr:row>47</xdr:row>
      <xdr:rowOff>157843</xdr:rowOff>
    </xdr:to>
    <xdr:sp macro="" textlink="">
      <xdr:nvSpPr>
        <xdr:cNvPr id="148" name="Rectangle: Rounded Corners 147">
          <a:extLst>
            <a:ext uri="{FF2B5EF4-FFF2-40B4-BE49-F238E27FC236}">
              <a16:creationId xmlns:a16="http://schemas.microsoft.com/office/drawing/2014/main" id="{F423D6B3-C013-4FD9-AF5C-4E98FBD6804E}"/>
            </a:ext>
          </a:extLst>
        </xdr:cNvPr>
        <xdr:cNvSpPr/>
      </xdr:nvSpPr>
      <xdr:spPr>
        <a:xfrm>
          <a:off x="15244444" y="8722487"/>
          <a:ext cx="2208076" cy="38885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/>
            <a:t>Volume</a:t>
          </a:r>
          <a:r>
            <a:rPr lang="en-US" sz="1600" baseline="0"/>
            <a:t>/PMH</a:t>
          </a:r>
          <a:endParaRPr lang="en-US" sz="1600"/>
        </a:p>
      </xdr:txBody>
    </xdr:sp>
    <xdr:clientData/>
  </xdr:twoCellAnchor>
  <xdr:twoCellAnchor>
    <xdr:from>
      <xdr:col>9</xdr:col>
      <xdr:colOff>55290</xdr:colOff>
      <xdr:row>42</xdr:row>
      <xdr:rowOff>43542</xdr:rowOff>
    </xdr:from>
    <xdr:to>
      <xdr:col>11</xdr:col>
      <xdr:colOff>428125</xdr:colOff>
      <xdr:row>45</xdr:row>
      <xdr:rowOff>149987</xdr:rowOff>
    </xdr:to>
    <xdr:cxnSp macro="">
      <xdr:nvCxnSpPr>
        <xdr:cNvPr id="149" name="Straight Arrow Connector 148">
          <a:extLst>
            <a:ext uri="{FF2B5EF4-FFF2-40B4-BE49-F238E27FC236}">
              <a16:creationId xmlns:a16="http://schemas.microsoft.com/office/drawing/2014/main" id="{B17716CF-3D64-4F2B-8E4B-679423B52B6E}"/>
            </a:ext>
          </a:extLst>
        </xdr:cNvPr>
        <xdr:cNvCxnSpPr>
          <a:stCxn id="129" idx="2"/>
          <a:endCxn id="148" idx="0"/>
        </xdr:cNvCxnSpPr>
      </xdr:nvCxnSpPr>
      <xdr:spPr>
        <a:xfrm>
          <a:off x="14751004" y="8044542"/>
          <a:ext cx="1597478" cy="67794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428125</xdr:colOff>
      <xdr:row>42</xdr:row>
      <xdr:rowOff>5443</xdr:rowOff>
    </xdr:from>
    <xdr:to>
      <xdr:col>14</xdr:col>
      <xdr:colOff>17189</xdr:colOff>
      <xdr:row>45</xdr:row>
      <xdr:rowOff>149987</xdr:rowOff>
    </xdr:to>
    <xdr:cxnSp macro="">
      <xdr:nvCxnSpPr>
        <xdr:cNvPr id="152" name="Straight Arrow Connector 151">
          <a:extLst>
            <a:ext uri="{FF2B5EF4-FFF2-40B4-BE49-F238E27FC236}">
              <a16:creationId xmlns:a16="http://schemas.microsoft.com/office/drawing/2014/main" id="{81C7B942-15EF-48D6-AC77-96EB16F813A5}"/>
            </a:ext>
          </a:extLst>
        </xdr:cNvPr>
        <xdr:cNvCxnSpPr>
          <a:stCxn id="139" idx="2"/>
          <a:endCxn id="148" idx="0"/>
        </xdr:cNvCxnSpPr>
      </xdr:nvCxnSpPr>
      <xdr:spPr>
        <a:xfrm flipH="1">
          <a:off x="16348482" y="8006443"/>
          <a:ext cx="1426028" cy="716044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40823</xdr:colOff>
      <xdr:row>22</xdr:row>
      <xdr:rowOff>54428</xdr:rowOff>
    </xdr:from>
    <xdr:to>
      <xdr:col>11</xdr:col>
      <xdr:colOff>585108</xdr:colOff>
      <xdr:row>24</xdr:row>
      <xdr:rowOff>108855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9B0003C3-4D69-4D0C-B5F1-33B9445E9A08}"/>
            </a:ext>
          </a:extLst>
        </xdr:cNvPr>
        <xdr:cNvSpPr/>
      </xdr:nvSpPr>
      <xdr:spPr>
        <a:xfrm>
          <a:off x="15961180" y="4245428"/>
          <a:ext cx="544285" cy="435427"/>
        </a:xfrm>
        <a:prstGeom prst="downArrow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63066</xdr:colOff>
      <xdr:row>25</xdr:row>
      <xdr:rowOff>182539</xdr:rowOff>
    </xdr:from>
    <xdr:to>
      <xdr:col>15</xdr:col>
      <xdr:colOff>97972</xdr:colOff>
      <xdr:row>28</xdr:row>
      <xdr:rowOff>163489</xdr:rowOff>
    </xdr:to>
    <xdr:sp macro="" textlink="">
      <xdr:nvSpPr>
        <xdr:cNvPr id="158" name="Rectangle 157">
          <a:extLst>
            <a:ext uri="{FF2B5EF4-FFF2-40B4-BE49-F238E27FC236}">
              <a16:creationId xmlns:a16="http://schemas.microsoft.com/office/drawing/2014/main" id="{57D58053-34DA-4F5A-93E9-D9B7EA8A37F1}"/>
            </a:ext>
          </a:extLst>
        </xdr:cNvPr>
        <xdr:cNvSpPr/>
      </xdr:nvSpPr>
      <xdr:spPr>
        <a:xfrm>
          <a:off x="14146459" y="4945039"/>
          <a:ext cx="4321156" cy="552450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 baseline="0"/>
            <a:t>Machine productivity calculation</a:t>
          </a:r>
          <a:endParaRPr lang="en-US" sz="2000" b="1"/>
        </a:p>
      </xdr:txBody>
    </xdr:sp>
    <xdr:clientData/>
  </xdr:twoCellAnchor>
  <xdr:twoCellAnchor>
    <xdr:from>
      <xdr:col>17</xdr:col>
      <xdr:colOff>469756</xdr:colOff>
      <xdr:row>54</xdr:row>
      <xdr:rowOff>119062</xdr:rowOff>
    </xdr:from>
    <xdr:to>
      <xdr:col>22</xdr:col>
      <xdr:colOff>126856</xdr:colOff>
      <xdr:row>57</xdr:row>
      <xdr:rowOff>100012</xdr:rowOff>
    </xdr:to>
    <xdr:sp macro="" textlink="">
      <xdr:nvSpPr>
        <xdr:cNvPr id="83" name="Rectangle 82">
          <a:extLst>
            <a:ext uri="{FF2B5EF4-FFF2-40B4-BE49-F238E27FC236}">
              <a16:creationId xmlns:a16="http://schemas.microsoft.com/office/drawing/2014/main" id="{A641833E-1E07-4AC1-BD3B-60A6CE958B72}"/>
            </a:ext>
          </a:extLst>
        </xdr:cNvPr>
        <xdr:cNvSpPr/>
      </xdr:nvSpPr>
      <xdr:spPr>
        <a:xfrm>
          <a:off x="10774074" y="500062"/>
          <a:ext cx="2687782" cy="552450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/>
            <a:t>ThinCost_1.0</a:t>
          </a:r>
        </a:p>
      </xdr:txBody>
    </xdr:sp>
    <xdr:clientData/>
  </xdr:twoCellAnchor>
  <xdr:twoCellAnchor>
    <xdr:from>
      <xdr:col>27</xdr:col>
      <xdr:colOff>484831</xdr:colOff>
      <xdr:row>70</xdr:row>
      <xdr:rowOff>17319</xdr:rowOff>
    </xdr:from>
    <xdr:to>
      <xdr:col>30</xdr:col>
      <xdr:colOff>178052</xdr:colOff>
      <xdr:row>73</xdr:row>
      <xdr:rowOff>73423</xdr:rowOff>
    </xdr:to>
    <xdr:sp macro="" textlink="">
      <xdr:nvSpPr>
        <xdr:cNvPr id="84" name="Rectangle: Rounded Corners 83">
          <a:extLst>
            <a:ext uri="{FF2B5EF4-FFF2-40B4-BE49-F238E27FC236}">
              <a16:creationId xmlns:a16="http://schemas.microsoft.com/office/drawing/2014/main" id="{D9ED5719-17F8-4671-BAE5-E8EFE16B4AC5}"/>
            </a:ext>
          </a:extLst>
        </xdr:cNvPr>
        <xdr:cNvSpPr/>
      </xdr:nvSpPr>
      <xdr:spPr>
        <a:xfrm>
          <a:off x="16850513" y="3446319"/>
          <a:ext cx="1511630" cy="62760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>
              <a:solidFill>
                <a:sysClr val="windowText" lastClr="000000"/>
              </a:solidFill>
            </a:rPr>
            <a:t>Input</a:t>
          </a:r>
        </a:p>
      </xdr:txBody>
    </xdr:sp>
    <xdr:clientData/>
  </xdr:twoCellAnchor>
  <xdr:twoCellAnchor>
    <xdr:from>
      <xdr:col>21</xdr:col>
      <xdr:colOff>422438</xdr:colOff>
      <xdr:row>117</xdr:row>
      <xdr:rowOff>77932</xdr:rowOff>
    </xdr:from>
    <xdr:to>
      <xdr:col>27</xdr:col>
      <xdr:colOff>95248</xdr:colOff>
      <xdr:row>122</xdr:row>
      <xdr:rowOff>63644</xdr:rowOff>
    </xdr:to>
    <xdr:sp macro="" textlink="">
      <xdr:nvSpPr>
        <xdr:cNvPr id="85" name="Rectangle: Rounded Corners 84">
          <a:extLst>
            <a:ext uri="{FF2B5EF4-FFF2-40B4-BE49-F238E27FC236}">
              <a16:creationId xmlns:a16="http://schemas.microsoft.com/office/drawing/2014/main" id="{A7F2A62F-D10C-4F35-BFD6-11D57C216111}"/>
            </a:ext>
          </a:extLst>
        </xdr:cNvPr>
        <xdr:cNvSpPr/>
      </xdr:nvSpPr>
      <xdr:spPr>
        <a:xfrm>
          <a:off x="13151302" y="12460432"/>
          <a:ext cx="3309628" cy="93821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 baseline="0">
              <a:solidFill>
                <a:sysClr val="windowText" lastClr="000000"/>
              </a:solidFill>
            </a:rPr>
            <a:t>Machine Productivity (tons/PMH) </a:t>
          </a:r>
          <a:endParaRPr lang="en-US" sz="20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27</xdr:col>
      <xdr:colOff>61295</xdr:colOff>
      <xdr:row>100</xdr:row>
      <xdr:rowOff>129886</xdr:rowOff>
    </xdr:from>
    <xdr:to>
      <xdr:col>30</xdr:col>
      <xdr:colOff>602116</xdr:colOff>
      <xdr:row>104</xdr:row>
      <xdr:rowOff>165270</xdr:rowOff>
    </xdr:to>
    <xdr:sp macro="" textlink="">
      <xdr:nvSpPr>
        <xdr:cNvPr id="86" name="Rectangle: Rounded Corners 85">
          <a:extLst>
            <a:ext uri="{FF2B5EF4-FFF2-40B4-BE49-F238E27FC236}">
              <a16:creationId xmlns:a16="http://schemas.microsoft.com/office/drawing/2014/main" id="{32728268-B5DB-40EB-A9D6-CBBFFD9086B9}"/>
            </a:ext>
          </a:extLst>
        </xdr:cNvPr>
        <xdr:cNvSpPr/>
      </xdr:nvSpPr>
      <xdr:spPr>
        <a:xfrm>
          <a:off x="16426977" y="9273886"/>
          <a:ext cx="2359230" cy="79738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 baseline="0">
              <a:solidFill>
                <a:sysClr val="windowText" lastClr="000000"/>
              </a:solidFill>
            </a:rPr>
            <a:t>Production Rate  </a:t>
          </a:r>
          <a:br>
            <a:rPr lang="en-US" sz="2000" b="1" baseline="0">
              <a:solidFill>
                <a:sysClr val="windowText" lastClr="000000"/>
              </a:solidFill>
            </a:rPr>
          </a:br>
          <a:r>
            <a:rPr lang="en-US" sz="2000" b="1" baseline="0">
              <a:solidFill>
                <a:sysClr val="windowText" lastClr="000000"/>
              </a:solidFill>
            </a:rPr>
            <a:t>(tons/cycle) </a:t>
          </a:r>
          <a:endParaRPr lang="en-US" sz="20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10</xdr:col>
      <xdr:colOff>350385</xdr:colOff>
      <xdr:row>117</xdr:row>
      <xdr:rowOff>136384</xdr:rowOff>
    </xdr:from>
    <xdr:to>
      <xdr:col>15</xdr:col>
      <xdr:colOff>238125</xdr:colOff>
      <xdr:row>122</xdr:row>
      <xdr:rowOff>82639</xdr:rowOff>
    </xdr:to>
    <xdr:sp macro="" textlink="">
      <xdr:nvSpPr>
        <xdr:cNvPr id="87" name="Rectangle: Rounded Corners 86">
          <a:extLst>
            <a:ext uri="{FF2B5EF4-FFF2-40B4-BE49-F238E27FC236}">
              <a16:creationId xmlns:a16="http://schemas.microsoft.com/office/drawing/2014/main" id="{9F059664-1E1D-46DF-AFA8-C0083BE68514}"/>
            </a:ext>
          </a:extLst>
        </xdr:cNvPr>
        <xdr:cNvSpPr/>
      </xdr:nvSpPr>
      <xdr:spPr>
        <a:xfrm>
          <a:off x="6411749" y="12518884"/>
          <a:ext cx="2918421" cy="898755"/>
        </a:xfrm>
        <a:prstGeom prst="roundRect">
          <a:avLst/>
        </a:prstGeom>
        <a:solidFill>
          <a:schemeClr val="accent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/>
            <a:t>Machine Rate </a:t>
          </a:r>
          <a:br>
            <a:rPr lang="en-US" sz="2000" b="1"/>
          </a:br>
          <a:r>
            <a:rPr lang="en-US" sz="2000" b="1"/>
            <a:t>($/PMH)</a:t>
          </a:r>
        </a:p>
      </xdr:txBody>
    </xdr:sp>
    <xdr:clientData/>
  </xdr:twoCellAnchor>
  <xdr:twoCellAnchor>
    <xdr:from>
      <xdr:col>26</xdr:col>
      <xdr:colOff>196007</xdr:colOff>
      <xdr:row>83</xdr:row>
      <xdr:rowOff>169714</xdr:rowOff>
    </xdr:from>
    <xdr:to>
      <xdr:col>31</xdr:col>
      <xdr:colOff>472851</xdr:colOff>
      <xdr:row>88</xdr:row>
      <xdr:rowOff>51954</xdr:rowOff>
    </xdr:to>
    <xdr:sp macro="" textlink="">
      <xdr:nvSpPr>
        <xdr:cNvPr id="88" name="Rectangle: Rounded Corners 87">
          <a:extLst>
            <a:ext uri="{FF2B5EF4-FFF2-40B4-BE49-F238E27FC236}">
              <a16:creationId xmlns:a16="http://schemas.microsoft.com/office/drawing/2014/main" id="{3E1AADF0-BDC4-49F6-B66C-AC4908924848}"/>
            </a:ext>
          </a:extLst>
        </xdr:cNvPr>
        <xdr:cNvSpPr/>
      </xdr:nvSpPr>
      <xdr:spPr>
        <a:xfrm>
          <a:off x="15955552" y="6075214"/>
          <a:ext cx="3307526" cy="834740"/>
        </a:xfrm>
        <a:prstGeom prst="roundRect">
          <a:avLst/>
        </a:prstGeom>
        <a:solidFill>
          <a:srgbClr val="7030A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 baseline="0"/>
            <a:t>Tree Volume Estimation</a:t>
          </a:r>
        </a:p>
      </xdr:txBody>
    </xdr:sp>
    <xdr:clientData/>
  </xdr:twoCellAnchor>
  <xdr:twoCellAnchor>
    <xdr:from>
      <xdr:col>16</xdr:col>
      <xdr:colOff>151083</xdr:colOff>
      <xdr:row>128</xdr:row>
      <xdr:rowOff>60550</xdr:rowOff>
    </xdr:from>
    <xdr:to>
      <xdr:col>21</xdr:col>
      <xdr:colOff>217095</xdr:colOff>
      <xdr:row>133</xdr:row>
      <xdr:rowOff>153079</xdr:rowOff>
    </xdr:to>
    <xdr:sp macro="" textlink="">
      <xdr:nvSpPr>
        <xdr:cNvPr id="89" name="Rectangle: Rounded Corners 88">
          <a:extLst>
            <a:ext uri="{FF2B5EF4-FFF2-40B4-BE49-F238E27FC236}">
              <a16:creationId xmlns:a16="http://schemas.microsoft.com/office/drawing/2014/main" id="{6D712809-F1C9-4614-A8F9-3E6500DA3F6B}"/>
            </a:ext>
          </a:extLst>
        </xdr:cNvPr>
        <xdr:cNvSpPr/>
      </xdr:nvSpPr>
      <xdr:spPr>
        <a:xfrm>
          <a:off x="9849265" y="14538550"/>
          <a:ext cx="3096694" cy="1045029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 baseline="0"/>
            <a:t>Forest thinning cost</a:t>
          </a:r>
        </a:p>
        <a:p>
          <a:pPr algn="ctr"/>
          <a:r>
            <a:rPr lang="en-US" sz="2000" b="1" baseline="0"/>
            <a:t>(Stump-to-Mill)</a:t>
          </a:r>
          <a:endParaRPr lang="en-US" sz="2000" b="1"/>
        </a:p>
      </xdr:txBody>
    </xdr:sp>
    <xdr:clientData/>
  </xdr:twoCellAnchor>
  <xdr:twoCellAnchor>
    <xdr:from>
      <xdr:col>15</xdr:col>
      <xdr:colOff>549961</xdr:colOff>
      <xdr:row>58</xdr:row>
      <xdr:rowOff>178934</xdr:rowOff>
    </xdr:from>
    <xdr:to>
      <xdr:col>23</xdr:col>
      <xdr:colOff>605829</xdr:colOff>
      <xdr:row>64</xdr:row>
      <xdr:rowOff>26375</xdr:rowOff>
    </xdr:to>
    <xdr:sp macro="" textlink="">
      <xdr:nvSpPr>
        <xdr:cNvPr id="92" name="Rectangle: Rounded Corners 91">
          <a:extLst>
            <a:ext uri="{FF2B5EF4-FFF2-40B4-BE49-F238E27FC236}">
              <a16:creationId xmlns:a16="http://schemas.microsoft.com/office/drawing/2014/main" id="{1FCB1163-0D05-472A-8571-54946E06EC0C}"/>
            </a:ext>
          </a:extLst>
        </xdr:cNvPr>
        <xdr:cNvSpPr/>
      </xdr:nvSpPr>
      <xdr:spPr>
        <a:xfrm>
          <a:off x="9642006" y="1321934"/>
          <a:ext cx="4904959" cy="990441"/>
        </a:xfrm>
        <a:prstGeom prst="roundRect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 baseline="0"/>
            <a:t>ThinCost_1.0 Model Flow Chart</a:t>
          </a:r>
        </a:p>
      </xdr:txBody>
    </xdr:sp>
    <xdr:clientData/>
  </xdr:twoCellAnchor>
  <xdr:twoCellAnchor>
    <xdr:from>
      <xdr:col>16</xdr:col>
      <xdr:colOff>296140</xdr:colOff>
      <xdr:row>100</xdr:row>
      <xdr:rowOff>175344</xdr:rowOff>
    </xdr:from>
    <xdr:to>
      <xdr:col>20</xdr:col>
      <xdr:colOff>236267</xdr:colOff>
      <xdr:row>105</xdr:row>
      <xdr:rowOff>35190</xdr:rowOff>
    </xdr:to>
    <xdr:sp macro="" textlink="">
      <xdr:nvSpPr>
        <xdr:cNvPr id="95" name="Rectangle: Rounded Corners 94">
          <a:extLst>
            <a:ext uri="{FF2B5EF4-FFF2-40B4-BE49-F238E27FC236}">
              <a16:creationId xmlns:a16="http://schemas.microsoft.com/office/drawing/2014/main" id="{B812D735-091C-4465-A84E-EF633BF4DB55}"/>
            </a:ext>
          </a:extLst>
        </xdr:cNvPr>
        <xdr:cNvSpPr/>
      </xdr:nvSpPr>
      <xdr:spPr>
        <a:xfrm>
          <a:off x="9994322" y="9319344"/>
          <a:ext cx="2364672" cy="81234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 baseline="0">
              <a:solidFill>
                <a:sysClr val="windowText" lastClr="000000"/>
              </a:solidFill>
            </a:rPr>
            <a:t>Cycle Time</a:t>
          </a:r>
          <a:br>
            <a:rPr lang="en-US" sz="2000" b="1" baseline="0">
              <a:solidFill>
                <a:sysClr val="windowText" lastClr="000000"/>
              </a:solidFill>
            </a:rPr>
          </a:br>
          <a:r>
            <a:rPr lang="en-US" sz="2000" b="1" baseline="0">
              <a:solidFill>
                <a:sysClr val="windowText" lastClr="000000"/>
              </a:solidFill>
            </a:rPr>
            <a:t>(minutes/cycle)</a:t>
          </a:r>
        </a:p>
      </xdr:txBody>
    </xdr:sp>
    <xdr:clientData/>
  </xdr:twoCellAnchor>
  <xdr:twoCellAnchor>
    <xdr:from>
      <xdr:col>15</xdr:col>
      <xdr:colOff>405679</xdr:colOff>
      <xdr:row>83</xdr:row>
      <xdr:rowOff>173181</xdr:rowOff>
    </xdr:from>
    <xdr:to>
      <xdr:col>21</xdr:col>
      <xdr:colOff>171633</xdr:colOff>
      <xdr:row>88</xdr:row>
      <xdr:rowOff>64946</xdr:rowOff>
    </xdr:to>
    <xdr:sp macro="" textlink="">
      <xdr:nvSpPr>
        <xdr:cNvPr id="98" name="Rectangle: Rounded Corners 97">
          <a:extLst>
            <a:ext uri="{FF2B5EF4-FFF2-40B4-BE49-F238E27FC236}">
              <a16:creationId xmlns:a16="http://schemas.microsoft.com/office/drawing/2014/main" id="{69261A58-BCD6-4E54-A6AC-F96A7DAF5302}"/>
            </a:ext>
          </a:extLst>
        </xdr:cNvPr>
        <xdr:cNvSpPr/>
      </xdr:nvSpPr>
      <xdr:spPr>
        <a:xfrm>
          <a:off x="9497724" y="6078681"/>
          <a:ext cx="3402773" cy="84426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>
              <a:solidFill>
                <a:sysClr val="windowText" lastClr="000000"/>
              </a:solidFill>
            </a:rPr>
            <a:t>Cycle Time Regression</a:t>
          </a:r>
          <a:r>
            <a:rPr lang="en-US" sz="2000" b="1" baseline="0">
              <a:solidFill>
                <a:sysClr val="windowText" lastClr="000000"/>
              </a:solidFill>
            </a:rPr>
            <a:t> Models</a:t>
          </a:r>
          <a:endParaRPr lang="en-US" sz="20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18</xdr:col>
      <xdr:colOff>266203</xdr:colOff>
      <xdr:row>88</xdr:row>
      <xdr:rowOff>64946</xdr:rowOff>
    </xdr:from>
    <xdr:to>
      <xdr:col>18</xdr:col>
      <xdr:colOff>288656</xdr:colOff>
      <xdr:row>100</xdr:row>
      <xdr:rowOff>175344</xdr:rowOff>
    </xdr:to>
    <xdr:cxnSp macro="">
      <xdr:nvCxnSpPr>
        <xdr:cNvPr id="116" name="Straight Arrow Connector 115">
          <a:extLst>
            <a:ext uri="{FF2B5EF4-FFF2-40B4-BE49-F238E27FC236}">
              <a16:creationId xmlns:a16="http://schemas.microsoft.com/office/drawing/2014/main" id="{C1F85EA5-1E6E-43F3-9367-326CD2C0472F}"/>
            </a:ext>
          </a:extLst>
        </xdr:cNvPr>
        <xdr:cNvCxnSpPr>
          <a:stCxn id="98" idx="2"/>
          <a:endCxn id="95" idx="0"/>
        </xdr:cNvCxnSpPr>
      </xdr:nvCxnSpPr>
      <xdr:spPr>
        <a:xfrm flipH="1">
          <a:off x="11176658" y="6922946"/>
          <a:ext cx="22453" cy="2396398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157766</xdr:colOff>
      <xdr:row>138</xdr:row>
      <xdr:rowOff>28267</xdr:rowOff>
    </xdr:from>
    <xdr:to>
      <xdr:col>25</xdr:col>
      <xdr:colOff>183697</xdr:colOff>
      <xdr:row>143</xdr:row>
      <xdr:rowOff>66208</xdr:rowOff>
    </xdr:to>
    <xdr:sp macro="" textlink="">
      <xdr:nvSpPr>
        <xdr:cNvPr id="133" name="Rectangle: Rounded Corners 132">
          <a:extLst>
            <a:ext uri="{FF2B5EF4-FFF2-40B4-BE49-F238E27FC236}">
              <a16:creationId xmlns:a16="http://schemas.microsoft.com/office/drawing/2014/main" id="{222C0FC4-911D-4518-9254-25A502E3B681}"/>
            </a:ext>
          </a:extLst>
        </xdr:cNvPr>
        <xdr:cNvSpPr/>
      </xdr:nvSpPr>
      <xdr:spPr>
        <a:xfrm>
          <a:off x="8037539" y="16411267"/>
          <a:ext cx="7299567" cy="990441"/>
        </a:xfrm>
        <a:prstGeom prst="roundRect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 baseline="0"/>
            <a:t>Forest Thinning Operation Systems</a:t>
          </a:r>
        </a:p>
      </xdr:txBody>
    </xdr:sp>
    <xdr:clientData/>
  </xdr:twoCellAnchor>
  <xdr:twoCellAnchor>
    <xdr:from>
      <xdr:col>18</xdr:col>
      <xdr:colOff>266203</xdr:colOff>
      <xdr:row>105</xdr:row>
      <xdr:rowOff>35190</xdr:rowOff>
    </xdr:from>
    <xdr:to>
      <xdr:col>24</xdr:col>
      <xdr:colOff>258843</xdr:colOff>
      <xdr:row>117</xdr:row>
      <xdr:rowOff>77932</xdr:rowOff>
    </xdr:to>
    <xdr:cxnSp macro="">
      <xdr:nvCxnSpPr>
        <xdr:cNvPr id="121" name="Connector: Elbow 120">
          <a:extLst>
            <a:ext uri="{FF2B5EF4-FFF2-40B4-BE49-F238E27FC236}">
              <a16:creationId xmlns:a16="http://schemas.microsoft.com/office/drawing/2014/main" id="{33D341AD-30A8-4DBF-A5DA-CBF921381810}"/>
            </a:ext>
          </a:extLst>
        </xdr:cNvPr>
        <xdr:cNvCxnSpPr>
          <a:stCxn id="95" idx="2"/>
          <a:endCxn id="85" idx="0"/>
        </xdr:cNvCxnSpPr>
      </xdr:nvCxnSpPr>
      <xdr:spPr>
        <a:xfrm rot="16200000" flipH="1">
          <a:off x="11827016" y="9481332"/>
          <a:ext cx="2328742" cy="3629458"/>
        </a:xfrm>
        <a:prstGeom prst="bentConnector3">
          <a:avLst>
            <a:gd name="adj1" fmla="val 50000"/>
          </a:avLst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258843</xdr:colOff>
      <xdr:row>104</xdr:row>
      <xdr:rowOff>165270</xdr:rowOff>
    </xdr:from>
    <xdr:to>
      <xdr:col>29</xdr:col>
      <xdr:colOff>28637</xdr:colOff>
      <xdr:row>117</xdr:row>
      <xdr:rowOff>77932</xdr:rowOff>
    </xdr:to>
    <xdr:cxnSp macro="">
      <xdr:nvCxnSpPr>
        <xdr:cNvPr id="123" name="Connector: Elbow 122">
          <a:extLst>
            <a:ext uri="{FF2B5EF4-FFF2-40B4-BE49-F238E27FC236}">
              <a16:creationId xmlns:a16="http://schemas.microsoft.com/office/drawing/2014/main" id="{0411BD8F-0F1E-4721-BD2B-F3E907678E2B}"/>
            </a:ext>
          </a:extLst>
        </xdr:cNvPr>
        <xdr:cNvCxnSpPr>
          <a:stCxn id="86" idx="2"/>
          <a:endCxn id="85" idx="0"/>
        </xdr:cNvCxnSpPr>
      </xdr:nvCxnSpPr>
      <xdr:spPr>
        <a:xfrm rot="5400000">
          <a:off x="15011773" y="9865613"/>
          <a:ext cx="2389162" cy="2800476"/>
        </a:xfrm>
        <a:prstGeom prst="bentConnector3">
          <a:avLst>
            <a:gd name="adj1" fmla="val 50000"/>
          </a:avLst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487157</xdr:colOff>
      <xdr:row>122</xdr:row>
      <xdr:rowOff>63644</xdr:rowOff>
    </xdr:from>
    <xdr:to>
      <xdr:col>24</xdr:col>
      <xdr:colOff>258843</xdr:colOff>
      <xdr:row>128</xdr:row>
      <xdr:rowOff>60550</xdr:rowOff>
    </xdr:to>
    <xdr:cxnSp macro="">
      <xdr:nvCxnSpPr>
        <xdr:cNvPr id="127" name="Connector: Elbow 126">
          <a:extLst>
            <a:ext uri="{FF2B5EF4-FFF2-40B4-BE49-F238E27FC236}">
              <a16:creationId xmlns:a16="http://schemas.microsoft.com/office/drawing/2014/main" id="{52F3AACC-330A-48F2-A395-12CFC1978C90}"/>
            </a:ext>
          </a:extLst>
        </xdr:cNvPr>
        <xdr:cNvCxnSpPr>
          <a:stCxn id="85" idx="2"/>
          <a:endCxn id="89" idx="0"/>
        </xdr:cNvCxnSpPr>
      </xdr:nvCxnSpPr>
      <xdr:spPr>
        <a:xfrm rot="5400000">
          <a:off x="12531911" y="12264345"/>
          <a:ext cx="1139906" cy="3408504"/>
        </a:xfrm>
        <a:prstGeom prst="bentConnector3">
          <a:avLst>
            <a:gd name="adj1" fmla="val 50000"/>
          </a:avLst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597325</xdr:colOff>
      <xdr:row>122</xdr:row>
      <xdr:rowOff>82638</xdr:rowOff>
    </xdr:from>
    <xdr:to>
      <xdr:col>18</xdr:col>
      <xdr:colOff>487158</xdr:colOff>
      <xdr:row>128</xdr:row>
      <xdr:rowOff>60549</xdr:rowOff>
    </xdr:to>
    <xdr:cxnSp macro="">
      <xdr:nvCxnSpPr>
        <xdr:cNvPr id="131" name="Connector: Elbow 130">
          <a:extLst>
            <a:ext uri="{FF2B5EF4-FFF2-40B4-BE49-F238E27FC236}">
              <a16:creationId xmlns:a16="http://schemas.microsoft.com/office/drawing/2014/main" id="{3CDB6556-0A5B-4E8E-BB36-9DA109CC274B}"/>
            </a:ext>
          </a:extLst>
        </xdr:cNvPr>
        <xdr:cNvCxnSpPr>
          <a:stCxn id="87" idx="2"/>
          <a:endCxn id="89" idx="0"/>
        </xdr:cNvCxnSpPr>
      </xdr:nvCxnSpPr>
      <xdr:spPr>
        <a:xfrm rot="16200000" flipH="1">
          <a:off x="9073831" y="12214768"/>
          <a:ext cx="1120911" cy="3526652"/>
        </a:xfrm>
        <a:prstGeom prst="bentConnector3">
          <a:avLst>
            <a:gd name="adj1" fmla="val 50000"/>
          </a:avLst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23813</xdr:colOff>
      <xdr:row>149</xdr:row>
      <xdr:rowOff>80961</xdr:rowOff>
    </xdr:from>
    <xdr:to>
      <xdr:col>34</xdr:col>
      <xdr:colOff>173491</xdr:colOff>
      <xdr:row>165</xdr:row>
      <xdr:rowOff>23812</xdr:rowOff>
    </xdr:to>
    <xdr:sp macro="" textlink="">
      <xdr:nvSpPr>
        <xdr:cNvPr id="147" name="Rectangle: Rounded Corners 146">
          <a:extLst>
            <a:ext uri="{FF2B5EF4-FFF2-40B4-BE49-F238E27FC236}">
              <a16:creationId xmlns:a16="http://schemas.microsoft.com/office/drawing/2014/main" id="{8125D957-995E-46E7-9064-ACCBBFA92F97}"/>
            </a:ext>
          </a:extLst>
        </xdr:cNvPr>
        <xdr:cNvSpPr/>
      </xdr:nvSpPr>
      <xdr:spPr>
        <a:xfrm>
          <a:off x="22312313" y="13796961"/>
          <a:ext cx="8198303" cy="2990851"/>
        </a:xfrm>
        <a:prstGeom prst="roundRect">
          <a:avLst/>
        </a:prstGeom>
        <a:solidFill>
          <a:schemeClr val="accent1">
            <a:lumMod val="75000"/>
            <a:alpha val="1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2000" b="1">
              <a:solidFill>
                <a:sysClr val="windowText" lastClr="000000"/>
              </a:solidFill>
            </a:rPr>
            <a:t>Felling</a:t>
          </a:r>
        </a:p>
      </xdr:txBody>
    </xdr:sp>
    <xdr:clientData/>
  </xdr:twoCellAnchor>
  <xdr:twoCellAnchor>
    <xdr:from>
      <xdr:col>22</xdr:col>
      <xdr:colOff>96009</xdr:colOff>
      <xdr:row>159</xdr:row>
      <xdr:rowOff>31976</xdr:rowOff>
    </xdr:from>
    <xdr:to>
      <xdr:col>24</xdr:col>
      <xdr:colOff>588510</xdr:colOff>
      <xdr:row>161</xdr:row>
      <xdr:rowOff>108176</xdr:rowOff>
    </xdr:to>
    <xdr:sp macro="" textlink="">
      <xdr:nvSpPr>
        <xdr:cNvPr id="150" name="Rectangle: Rounded Corners 149">
          <a:extLst>
            <a:ext uri="{FF2B5EF4-FFF2-40B4-BE49-F238E27FC236}">
              <a16:creationId xmlns:a16="http://schemas.microsoft.com/office/drawing/2014/main" id="{C5137A06-1456-458C-BAF6-F5BCABB6FDC6}"/>
            </a:ext>
          </a:extLst>
        </xdr:cNvPr>
        <xdr:cNvSpPr/>
      </xdr:nvSpPr>
      <xdr:spPr>
        <a:xfrm>
          <a:off x="23003634" y="15652976"/>
          <a:ext cx="1730751" cy="457200"/>
        </a:xfrm>
        <a:prstGeom prst="roundRect">
          <a:avLst/>
        </a:prstGeom>
        <a:solidFill>
          <a:schemeClr val="accent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/>
            <a:t>Chainsaw</a:t>
          </a:r>
        </a:p>
      </xdr:txBody>
    </xdr:sp>
    <xdr:clientData/>
  </xdr:twoCellAnchor>
  <xdr:twoCellAnchor>
    <xdr:from>
      <xdr:col>30</xdr:col>
      <xdr:colOff>280988</xdr:colOff>
      <xdr:row>159</xdr:row>
      <xdr:rowOff>4762</xdr:rowOff>
    </xdr:from>
    <xdr:to>
      <xdr:col>33</xdr:col>
      <xdr:colOff>275545</xdr:colOff>
      <xdr:row>161</xdr:row>
      <xdr:rowOff>80962</xdr:rowOff>
    </xdr:to>
    <xdr:sp macro="" textlink="">
      <xdr:nvSpPr>
        <xdr:cNvPr id="151" name="Rectangle: Rounded Corners 150">
          <a:extLst>
            <a:ext uri="{FF2B5EF4-FFF2-40B4-BE49-F238E27FC236}">
              <a16:creationId xmlns:a16="http://schemas.microsoft.com/office/drawing/2014/main" id="{1457209C-84D9-4865-B887-F786D7D630F5}"/>
            </a:ext>
          </a:extLst>
        </xdr:cNvPr>
        <xdr:cNvSpPr/>
      </xdr:nvSpPr>
      <xdr:spPr>
        <a:xfrm>
          <a:off x="28141613" y="15625762"/>
          <a:ext cx="1851932" cy="457200"/>
        </a:xfrm>
        <a:prstGeom prst="roundRect">
          <a:avLst/>
        </a:prstGeom>
        <a:solidFill>
          <a:schemeClr val="accent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/>
            <a:t>Harvester</a:t>
          </a:r>
        </a:p>
      </xdr:txBody>
    </xdr:sp>
    <xdr:clientData/>
  </xdr:twoCellAnchor>
  <xdr:twoCellAnchor>
    <xdr:from>
      <xdr:col>26</xdr:col>
      <xdr:colOff>116345</xdr:colOff>
      <xdr:row>159</xdr:row>
      <xdr:rowOff>10208</xdr:rowOff>
    </xdr:from>
    <xdr:to>
      <xdr:col>29</xdr:col>
      <xdr:colOff>159887</xdr:colOff>
      <xdr:row>161</xdr:row>
      <xdr:rowOff>86408</xdr:rowOff>
    </xdr:to>
    <xdr:sp macro="" textlink="">
      <xdr:nvSpPr>
        <xdr:cNvPr id="153" name="Rectangle: Rounded Corners 152">
          <a:extLst>
            <a:ext uri="{FF2B5EF4-FFF2-40B4-BE49-F238E27FC236}">
              <a16:creationId xmlns:a16="http://schemas.microsoft.com/office/drawing/2014/main" id="{60920402-9E8D-4966-9FA1-8058FF9CA373}"/>
            </a:ext>
          </a:extLst>
        </xdr:cNvPr>
        <xdr:cNvSpPr/>
      </xdr:nvSpPr>
      <xdr:spPr>
        <a:xfrm>
          <a:off x="25500470" y="15631208"/>
          <a:ext cx="1900917" cy="457200"/>
        </a:xfrm>
        <a:prstGeom prst="roundRect">
          <a:avLst/>
        </a:prstGeom>
        <a:solidFill>
          <a:schemeClr val="accent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 baseline="0"/>
            <a:t>Feller-Buncher</a:t>
          </a:r>
          <a:endParaRPr lang="en-US" sz="2000" b="1"/>
        </a:p>
      </xdr:txBody>
    </xdr:sp>
    <xdr:clientData/>
  </xdr:twoCellAnchor>
  <xdr:twoCellAnchor>
    <xdr:from>
      <xdr:col>3</xdr:col>
      <xdr:colOff>17767</xdr:colOff>
      <xdr:row>157</xdr:row>
      <xdr:rowOff>185056</xdr:rowOff>
    </xdr:from>
    <xdr:to>
      <xdr:col>6</xdr:col>
      <xdr:colOff>217715</xdr:colOff>
      <xdr:row>160</xdr:row>
      <xdr:rowOff>70756</xdr:rowOff>
    </xdr:to>
    <xdr:sp macro="" textlink="">
      <xdr:nvSpPr>
        <xdr:cNvPr id="154" name="Rectangle: Rounded Corners 153">
          <a:extLst>
            <a:ext uri="{FF2B5EF4-FFF2-40B4-BE49-F238E27FC236}">
              <a16:creationId xmlns:a16="http://schemas.microsoft.com/office/drawing/2014/main" id="{B8E6F165-89BB-430A-88DE-6DD5199CACAD}"/>
            </a:ext>
          </a:extLst>
        </xdr:cNvPr>
        <xdr:cNvSpPr/>
      </xdr:nvSpPr>
      <xdr:spPr>
        <a:xfrm>
          <a:off x="11039553" y="25140556"/>
          <a:ext cx="2036912" cy="457200"/>
        </a:xfrm>
        <a:prstGeom prst="roundRect">
          <a:avLst/>
        </a:prstGeom>
        <a:solidFill>
          <a:schemeClr val="accent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/>
            <a:t>Feller-Buncher</a:t>
          </a:r>
        </a:p>
      </xdr:txBody>
    </xdr:sp>
    <xdr:clientData/>
  </xdr:twoCellAnchor>
  <xdr:twoCellAnchor>
    <xdr:from>
      <xdr:col>22</xdr:col>
      <xdr:colOff>37420</xdr:colOff>
      <xdr:row>152</xdr:row>
      <xdr:rowOff>78243</xdr:rowOff>
    </xdr:from>
    <xdr:to>
      <xdr:col>25</xdr:col>
      <xdr:colOff>105456</xdr:colOff>
      <xdr:row>157</xdr:row>
      <xdr:rowOff>187101</xdr:rowOff>
    </xdr:to>
    <xdr:sp macro="" textlink="">
      <xdr:nvSpPr>
        <xdr:cNvPr id="145" name="Speech Bubble: Rectangle with Corners Rounded 144">
          <a:extLst>
            <a:ext uri="{FF2B5EF4-FFF2-40B4-BE49-F238E27FC236}">
              <a16:creationId xmlns:a16="http://schemas.microsoft.com/office/drawing/2014/main" id="{AEC04319-F49E-4974-97AD-8DA04E2CC10B}"/>
            </a:ext>
          </a:extLst>
        </xdr:cNvPr>
        <xdr:cNvSpPr/>
      </xdr:nvSpPr>
      <xdr:spPr>
        <a:xfrm>
          <a:off x="22945045" y="14365743"/>
          <a:ext cx="1925411" cy="1061358"/>
        </a:xfrm>
        <a:prstGeom prst="wedgeRoundRectCallout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Steep</a:t>
          </a:r>
          <a:r>
            <a:rPr lang="en-US" sz="1100" baseline="0"/>
            <a:t> slope (over 35%)</a:t>
          </a:r>
        </a:p>
        <a:p>
          <a:pPr algn="l"/>
          <a:r>
            <a:rPr lang="en-US" sz="1100" baseline="0"/>
            <a:t>WT, TL, harvesting method</a:t>
          </a:r>
        </a:p>
        <a:p>
          <a:pPr algn="l"/>
          <a:r>
            <a:rPr lang="en-US" sz="1100" baseline="0"/>
            <a:t>Cable yarding system</a:t>
          </a:r>
        </a:p>
        <a:p>
          <a:pPr algn="l"/>
          <a:endParaRPr lang="en-US" sz="1100" baseline="0"/>
        </a:p>
        <a:p>
          <a:pPr algn="l"/>
          <a:endParaRPr lang="en-US" sz="1100"/>
        </a:p>
      </xdr:txBody>
    </xdr:sp>
    <xdr:clientData/>
  </xdr:twoCellAnchor>
  <xdr:twoCellAnchor>
    <xdr:from>
      <xdr:col>3</xdr:col>
      <xdr:colOff>367393</xdr:colOff>
      <xdr:row>152</xdr:row>
      <xdr:rowOff>54429</xdr:rowOff>
    </xdr:from>
    <xdr:to>
      <xdr:col>5</xdr:col>
      <xdr:colOff>517072</xdr:colOff>
      <xdr:row>154</xdr:row>
      <xdr:rowOff>149679</xdr:rowOff>
    </xdr:to>
    <xdr:sp macro="" textlink="">
      <xdr:nvSpPr>
        <xdr:cNvPr id="146" name="Flowchart: Decision 145">
          <a:extLst>
            <a:ext uri="{FF2B5EF4-FFF2-40B4-BE49-F238E27FC236}">
              <a16:creationId xmlns:a16="http://schemas.microsoft.com/office/drawing/2014/main" id="{B85F34F8-9B76-4D42-A314-C1CE219F6399}"/>
            </a:ext>
          </a:extLst>
        </xdr:cNvPr>
        <xdr:cNvSpPr/>
      </xdr:nvSpPr>
      <xdr:spPr>
        <a:xfrm>
          <a:off x="11389179" y="24057429"/>
          <a:ext cx="1374322" cy="476250"/>
        </a:xfrm>
        <a:prstGeom prst="flowChartDecision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/>
            <a:t>WT</a:t>
          </a:r>
        </a:p>
      </xdr:txBody>
    </xdr:sp>
    <xdr:clientData/>
  </xdr:twoCellAnchor>
  <xdr:twoCellAnchor>
    <xdr:from>
      <xdr:col>26</xdr:col>
      <xdr:colOff>53747</xdr:colOff>
      <xdr:row>152</xdr:row>
      <xdr:rowOff>64635</xdr:rowOff>
    </xdr:from>
    <xdr:to>
      <xdr:col>29</xdr:col>
      <xdr:colOff>357188</xdr:colOff>
      <xdr:row>157</xdr:row>
      <xdr:rowOff>162607</xdr:rowOff>
    </xdr:to>
    <xdr:sp macro="" textlink="">
      <xdr:nvSpPr>
        <xdr:cNvPr id="159" name="Speech Bubble: Rectangle with Corners Rounded 158">
          <a:extLst>
            <a:ext uri="{FF2B5EF4-FFF2-40B4-BE49-F238E27FC236}">
              <a16:creationId xmlns:a16="http://schemas.microsoft.com/office/drawing/2014/main" id="{354679D6-EBB2-4368-9F0F-A65DA9AAF624}"/>
            </a:ext>
          </a:extLst>
        </xdr:cNvPr>
        <xdr:cNvSpPr/>
      </xdr:nvSpPr>
      <xdr:spPr>
        <a:xfrm>
          <a:off x="25437872" y="14352135"/>
          <a:ext cx="2160816" cy="1050472"/>
        </a:xfrm>
        <a:prstGeom prst="wedgeRoundRectCallout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Harvesting biomass</a:t>
          </a:r>
        </a:p>
        <a:p>
          <a:pPr algn="l"/>
          <a:r>
            <a:rPr lang="en-US" sz="1100" baseline="0"/>
            <a:t>Small-diameter trees harvesting</a:t>
          </a:r>
        </a:p>
        <a:p>
          <a:pPr algn="l"/>
          <a:r>
            <a:rPr lang="en-US" sz="1100" baseline="0"/>
            <a:t>WT harvesting method</a:t>
          </a:r>
        </a:p>
        <a:p>
          <a:pPr algn="l"/>
          <a:r>
            <a:rPr lang="en-US" sz="1100" baseline="0"/>
            <a:t>Skidder system</a:t>
          </a:r>
        </a:p>
        <a:p>
          <a:pPr algn="l"/>
          <a:endParaRPr lang="en-US" sz="1100"/>
        </a:p>
      </xdr:txBody>
    </xdr:sp>
    <xdr:clientData/>
  </xdr:twoCellAnchor>
  <xdr:twoCellAnchor>
    <xdr:from>
      <xdr:col>30</xdr:col>
      <xdr:colOff>267381</xdr:colOff>
      <xdr:row>152</xdr:row>
      <xdr:rowOff>37421</xdr:rowOff>
    </xdr:from>
    <xdr:to>
      <xdr:col>33</xdr:col>
      <xdr:colOff>316367</xdr:colOff>
      <xdr:row>157</xdr:row>
      <xdr:rowOff>42865</xdr:rowOff>
    </xdr:to>
    <xdr:sp macro="" textlink="">
      <xdr:nvSpPr>
        <xdr:cNvPr id="160" name="Speech Bubble: Rectangle with Corners Rounded 159">
          <a:extLst>
            <a:ext uri="{FF2B5EF4-FFF2-40B4-BE49-F238E27FC236}">
              <a16:creationId xmlns:a16="http://schemas.microsoft.com/office/drawing/2014/main" id="{B3150375-E41E-4E71-9AC1-95134CD0729A}"/>
            </a:ext>
          </a:extLst>
        </xdr:cNvPr>
        <xdr:cNvSpPr/>
      </xdr:nvSpPr>
      <xdr:spPr>
        <a:xfrm>
          <a:off x="28128006" y="14324921"/>
          <a:ext cx="1906361" cy="957944"/>
        </a:xfrm>
        <a:prstGeom prst="wedgeRoundRectCallout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aseline="0"/>
            <a:t>No biomass harvesting</a:t>
          </a:r>
        </a:p>
        <a:p>
          <a:pPr algn="l"/>
          <a:r>
            <a:rPr lang="en-US" sz="1100" baseline="0"/>
            <a:t>Leave biomass at stump</a:t>
          </a:r>
        </a:p>
        <a:p>
          <a:pPr algn="l"/>
          <a:r>
            <a:rPr lang="en-US" sz="1100" baseline="0"/>
            <a:t>CTL harvesting method</a:t>
          </a:r>
        </a:p>
        <a:p>
          <a:pPr algn="l"/>
          <a:r>
            <a:rPr lang="en-US" sz="1100" baseline="0"/>
            <a:t>Forwarder or Cable system</a:t>
          </a:r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endParaRPr lang="en-US" sz="1100"/>
        </a:p>
      </xdr:txBody>
    </xdr:sp>
    <xdr:clientData/>
  </xdr:twoCellAnchor>
  <xdr:twoCellAnchor>
    <xdr:from>
      <xdr:col>20</xdr:col>
      <xdr:colOff>588509</xdr:colOff>
      <xdr:row>167</xdr:row>
      <xdr:rowOff>26533</xdr:rowOff>
    </xdr:from>
    <xdr:to>
      <xdr:col>34</xdr:col>
      <xdr:colOff>119062</xdr:colOff>
      <xdr:row>182</xdr:row>
      <xdr:rowOff>159884</xdr:rowOff>
    </xdr:to>
    <xdr:sp macro="" textlink="">
      <xdr:nvSpPr>
        <xdr:cNvPr id="161" name="Rectangle: Rounded Corners 160">
          <a:extLst>
            <a:ext uri="{FF2B5EF4-FFF2-40B4-BE49-F238E27FC236}">
              <a16:creationId xmlns:a16="http://schemas.microsoft.com/office/drawing/2014/main" id="{F30940F3-B599-4908-873A-8825F231C8A5}"/>
            </a:ext>
          </a:extLst>
        </xdr:cNvPr>
        <xdr:cNvSpPr/>
      </xdr:nvSpPr>
      <xdr:spPr>
        <a:xfrm>
          <a:off x="22257884" y="17171533"/>
          <a:ext cx="8198303" cy="2990851"/>
        </a:xfrm>
        <a:prstGeom prst="roundRect">
          <a:avLst/>
        </a:prstGeom>
        <a:solidFill>
          <a:schemeClr val="accent1">
            <a:lumMod val="75000"/>
            <a:alpha val="1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2000" b="1" baseline="0">
              <a:solidFill>
                <a:sysClr val="windowText" lastClr="000000"/>
              </a:solidFill>
            </a:rPr>
            <a:t>Extraction</a:t>
          </a:r>
          <a:endParaRPr lang="en-US" sz="20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22</xdr:col>
      <xdr:colOff>41580</xdr:colOff>
      <xdr:row>176</xdr:row>
      <xdr:rowOff>168048</xdr:rowOff>
    </xdr:from>
    <xdr:to>
      <xdr:col>24</xdr:col>
      <xdr:colOff>534081</xdr:colOff>
      <xdr:row>179</xdr:row>
      <xdr:rowOff>53748</xdr:rowOff>
    </xdr:to>
    <xdr:sp macro="" textlink="">
      <xdr:nvSpPr>
        <xdr:cNvPr id="162" name="Rectangle: Rounded Corners 161">
          <a:extLst>
            <a:ext uri="{FF2B5EF4-FFF2-40B4-BE49-F238E27FC236}">
              <a16:creationId xmlns:a16="http://schemas.microsoft.com/office/drawing/2014/main" id="{7912075E-0007-48AE-BE29-0F9795B7708C}"/>
            </a:ext>
          </a:extLst>
        </xdr:cNvPr>
        <xdr:cNvSpPr/>
      </xdr:nvSpPr>
      <xdr:spPr>
        <a:xfrm>
          <a:off x="22949205" y="19027548"/>
          <a:ext cx="1730751" cy="457200"/>
        </a:xfrm>
        <a:prstGeom prst="roundRect">
          <a:avLst/>
        </a:prstGeom>
        <a:solidFill>
          <a:schemeClr val="accent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/>
            <a:t>Skidder</a:t>
          </a:r>
        </a:p>
      </xdr:txBody>
    </xdr:sp>
    <xdr:clientData/>
  </xdr:twoCellAnchor>
  <xdr:twoCellAnchor>
    <xdr:from>
      <xdr:col>30</xdr:col>
      <xdr:colOff>219756</xdr:colOff>
      <xdr:row>176</xdr:row>
      <xdr:rowOff>140834</xdr:rowOff>
    </xdr:from>
    <xdr:to>
      <xdr:col>33</xdr:col>
      <xdr:colOff>513747</xdr:colOff>
      <xdr:row>179</xdr:row>
      <xdr:rowOff>26534</xdr:rowOff>
    </xdr:to>
    <xdr:sp macro="" textlink="">
      <xdr:nvSpPr>
        <xdr:cNvPr id="163" name="Rectangle: Rounded Corners 162">
          <a:extLst>
            <a:ext uri="{FF2B5EF4-FFF2-40B4-BE49-F238E27FC236}">
              <a16:creationId xmlns:a16="http://schemas.microsoft.com/office/drawing/2014/main" id="{894BEA48-526B-4E61-A6D9-10779D3F8E70}"/>
            </a:ext>
          </a:extLst>
        </xdr:cNvPr>
        <xdr:cNvSpPr/>
      </xdr:nvSpPr>
      <xdr:spPr>
        <a:xfrm>
          <a:off x="28080381" y="19000334"/>
          <a:ext cx="2151366" cy="457200"/>
        </a:xfrm>
        <a:prstGeom prst="roundRect">
          <a:avLst/>
        </a:prstGeom>
        <a:solidFill>
          <a:schemeClr val="accent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/>
            <a:t>Cable Yarder</a:t>
          </a:r>
        </a:p>
      </xdr:txBody>
    </xdr:sp>
    <xdr:clientData/>
  </xdr:twoCellAnchor>
  <xdr:twoCellAnchor>
    <xdr:from>
      <xdr:col>26</xdr:col>
      <xdr:colOff>61916</xdr:colOff>
      <xdr:row>176</xdr:row>
      <xdr:rowOff>146280</xdr:rowOff>
    </xdr:from>
    <xdr:to>
      <xdr:col>29</xdr:col>
      <xdr:colOff>105458</xdr:colOff>
      <xdr:row>179</xdr:row>
      <xdr:rowOff>31980</xdr:rowOff>
    </xdr:to>
    <xdr:sp macro="" textlink="">
      <xdr:nvSpPr>
        <xdr:cNvPr id="164" name="Rectangle: Rounded Corners 163">
          <a:extLst>
            <a:ext uri="{FF2B5EF4-FFF2-40B4-BE49-F238E27FC236}">
              <a16:creationId xmlns:a16="http://schemas.microsoft.com/office/drawing/2014/main" id="{A61AF874-0DE6-4429-903C-5955058905AB}"/>
            </a:ext>
          </a:extLst>
        </xdr:cNvPr>
        <xdr:cNvSpPr/>
      </xdr:nvSpPr>
      <xdr:spPr>
        <a:xfrm>
          <a:off x="25446041" y="19005780"/>
          <a:ext cx="1900917" cy="457200"/>
        </a:xfrm>
        <a:prstGeom prst="roundRect">
          <a:avLst/>
        </a:prstGeom>
        <a:solidFill>
          <a:schemeClr val="accent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 baseline="0"/>
            <a:t>Forwarder</a:t>
          </a:r>
          <a:endParaRPr lang="en-US" sz="2000" b="1"/>
        </a:p>
      </xdr:txBody>
    </xdr:sp>
    <xdr:clientData/>
  </xdr:twoCellAnchor>
  <xdr:twoCellAnchor>
    <xdr:from>
      <xdr:col>21</xdr:col>
      <xdr:colOff>602116</xdr:colOff>
      <xdr:row>170</xdr:row>
      <xdr:rowOff>23815</xdr:rowOff>
    </xdr:from>
    <xdr:to>
      <xdr:col>25</xdr:col>
      <xdr:colOff>51027</xdr:colOff>
      <xdr:row>175</xdr:row>
      <xdr:rowOff>132673</xdr:rowOff>
    </xdr:to>
    <xdr:sp macro="" textlink="">
      <xdr:nvSpPr>
        <xdr:cNvPr id="165" name="Speech Bubble: Rectangle with Corners Rounded 164">
          <a:extLst>
            <a:ext uri="{FF2B5EF4-FFF2-40B4-BE49-F238E27FC236}">
              <a16:creationId xmlns:a16="http://schemas.microsoft.com/office/drawing/2014/main" id="{E4C173FF-257A-45FF-A995-DB8618DA1D60}"/>
            </a:ext>
          </a:extLst>
        </xdr:cNvPr>
        <xdr:cNvSpPr/>
      </xdr:nvSpPr>
      <xdr:spPr>
        <a:xfrm>
          <a:off x="22890616" y="17740315"/>
          <a:ext cx="1925411" cy="1061358"/>
        </a:xfrm>
        <a:prstGeom prst="wedgeRoundRectCallout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aseline="0"/>
            <a:t>Short extraction distance</a:t>
          </a:r>
        </a:p>
        <a:p>
          <a:pPr algn="l"/>
          <a:r>
            <a:rPr lang="en-US" sz="1100" baseline="0"/>
            <a:t>WT harvesting method</a:t>
          </a:r>
        </a:p>
        <a:p>
          <a:pPr algn="l"/>
          <a:r>
            <a:rPr lang="en-US" sz="1100" baseline="0"/>
            <a:t>Feller-Buncher system</a:t>
          </a:r>
        </a:p>
        <a:p>
          <a:pPr algn="l"/>
          <a:endParaRPr lang="en-US" sz="1100" baseline="0"/>
        </a:p>
        <a:p>
          <a:pPr algn="l"/>
          <a:endParaRPr lang="en-US" sz="1100"/>
        </a:p>
      </xdr:txBody>
    </xdr:sp>
    <xdr:clientData/>
  </xdr:twoCellAnchor>
  <xdr:twoCellAnchor>
    <xdr:from>
      <xdr:col>25</xdr:col>
      <xdr:colOff>618443</xdr:colOff>
      <xdr:row>170</xdr:row>
      <xdr:rowOff>10207</xdr:rowOff>
    </xdr:from>
    <xdr:to>
      <xdr:col>29</xdr:col>
      <xdr:colOff>302759</xdr:colOff>
      <xdr:row>175</xdr:row>
      <xdr:rowOff>108179</xdr:rowOff>
    </xdr:to>
    <xdr:sp macro="" textlink="">
      <xdr:nvSpPr>
        <xdr:cNvPr id="166" name="Speech Bubble: Rectangle with Corners Rounded 165">
          <a:extLst>
            <a:ext uri="{FF2B5EF4-FFF2-40B4-BE49-F238E27FC236}">
              <a16:creationId xmlns:a16="http://schemas.microsoft.com/office/drawing/2014/main" id="{025FE3BC-C9FF-4D9D-BBF2-907E0276C65C}"/>
            </a:ext>
          </a:extLst>
        </xdr:cNvPr>
        <xdr:cNvSpPr/>
      </xdr:nvSpPr>
      <xdr:spPr>
        <a:xfrm>
          <a:off x="25383443" y="17726707"/>
          <a:ext cx="2160816" cy="1050472"/>
        </a:xfrm>
        <a:prstGeom prst="wedgeRoundRectCallout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aseline="0"/>
            <a:t>Long extraction distance</a:t>
          </a:r>
        </a:p>
        <a:p>
          <a:pPr algn="l"/>
          <a:r>
            <a:rPr lang="en-US" sz="1100" baseline="0"/>
            <a:t>CTL harvesting method</a:t>
          </a:r>
        </a:p>
        <a:p>
          <a:pPr algn="l"/>
          <a:r>
            <a:rPr lang="en-US" sz="1100" baseline="0"/>
            <a:t>Harvester system</a:t>
          </a:r>
        </a:p>
        <a:p>
          <a:pPr algn="l"/>
          <a:endParaRPr lang="en-US" sz="1100"/>
        </a:p>
      </xdr:txBody>
    </xdr:sp>
    <xdr:clientData/>
  </xdr:twoCellAnchor>
  <xdr:twoCellAnchor>
    <xdr:from>
      <xdr:col>30</xdr:col>
      <xdr:colOff>206148</xdr:colOff>
      <xdr:row>169</xdr:row>
      <xdr:rowOff>173493</xdr:rowOff>
    </xdr:from>
    <xdr:to>
      <xdr:col>33</xdr:col>
      <xdr:colOff>398008</xdr:colOff>
      <xdr:row>174</xdr:row>
      <xdr:rowOff>178937</xdr:rowOff>
    </xdr:to>
    <xdr:sp macro="" textlink="">
      <xdr:nvSpPr>
        <xdr:cNvPr id="167" name="Speech Bubble: Rectangle with Corners Rounded 166">
          <a:extLst>
            <a:ext uri="{FF2B5EF4-FFF2-40B4-BE49-F238E27FC236}">
              <a16:creationId xmlns:a16="http://schemas.microsoft.com/office/drawing/2014/main" id="{075D51CB-A3EF-46E4-B2CC-2A032CB3B50B}"/>
            </a:ext>
          </a:extLst>
        </xdr:cNvPr>
        <xdr:cNvSpPr/>
      </xdr:nvSpPr>
      <xdr:spPr>
        <a:xfrm>
          <a:off x="28066773" y="17699493"/>
          <a:ext cx="2049235" cy="957944"/>
        </a:xfrm>
        <a:prstGeom prst="wedgeRoundRectCallout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Steep</a:t>
          </a:r>
          <a:r>
            <a:rPr lang="en-US" sz="11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slope (over 35%)</a:t>
          </a:r>
          <a:endParaRPr lang="en-US" sz="1100">
            <a:effectLst/>
          </a:endParaRPr>
        </a:p>
        <a:p>
          <a:pPr algn="l"/>
          <a:r>
            <a:rPr lang="en-US" sz="1100" baseline="0"/>
            <a:t>TL &amp;CTL harvesting method</a:t>
          </a:r>
        </a:p>
        <a:p>
          <a:pPr algn="l"/>
          <a:r>
            <a:rPr lang="en-US" sz="1100" baseline="0"/>
            <a:t>Chainsaw or Harvester system</a:t>
          </a:r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endParaRPr lang="en-US" sz="1100"/>
        </a:p>
      </xdr:txBody>
    </xdr:sp>
    <xdr:clientData/>
  </xdr:twoCellAnchor>
  <xdr:twoCellAnchor>
    <xdr:from>
      <xdr:col>20</xdr:col>
      <xdr:colOff>615723</xdr:colOff>
      <xdr:row>184</xdr:row>
      <xdr:rowOff>94568</xdr:rowOff>
    </xdr:from>
    <xdr:to>
      <xdr:col>34</xdr:col>
      <xdr:colOff>275546</xdr:colOff>
      <xdr:row>200</xdr:row>
      <xdr:rowOff>37419</xdr:rowOff>
    </xdr:to>
    <xdr:sp macro="" textlink="">
      <xdr:nvSpPr>
        <xdr:cNvPr id="168" name="Rectangle: Rounded Corners 167">
          <a:extLst>
            <a:ext uri="{FF2B5EF4-FFF2-40B4-BE49-F238E27FC236}">
              <a16:creationId xmlns:a16="http://schemas.microsoft.com/office/drawing/2014/main" id="{30E94306-5D54-4914-B54F-336209E207AD}"/>
            </a:ext>
          </a:extLst>
        </xdr:cNvPr>
        <xdr:cNvSpPr/>
      </xdr:nvSpPr>
      <xdr:spPr>
        <a:xfrm>
          <a:off x="22285098" y="20478068"/>
          <a:ext cx="8327573" cy="2990851"/>
        </a:xfrm>
        <a:prstGeom prst="roundRect">
          <a:avLst/>
        </a:prstGeom>
        <a:solidFill>
          <a:schemeClr val="accent1">
            <a:lumMod val="75000"/>
            <a:alpha val="1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2000" b="1" baseline="0">
              <a:solidFill>
                <a:sysClr val="windowText" lastClr="000000"/>
              </a:solidFill>
            </a:rPr>
            <a:t>Landing</a:t>
          </a:r>
          <a:endParaRPr lang="en-US" sz="20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21</xdr:col>
      <xdr:colOff>565455</xdr:colOff>
      <xdr:row>195</xdr:row>
      <xdr:rowOff>59190</xdr:rowOff>
    </xdr:from>
    <xdr:to>
      <xdr:col>24</xdr:col>
      <xdr:colOff>438831</xdr:colOff>
      <xdr:row>197</xdr:row>
      <xdr:rowOff>135390</xdr:rowOff>
    </xdr:to>
    <xdr:sp macro="" textlink="">
      <xdr:nvSpPr>
        <xdr:cNvPr id="169" name="Rectangle: Rounded Corners 168">
          <a:extLst>
            <a:ext uri="{FF2B5EF4-FFF2-40B4-BE49-F238E27FC236}">
              <a16:creationId xmlns:a16="http://schemas.microsoft.com/office/drawing/2014/main" id="{3FCC0B0E-244C-4052-B964-9408A277633D}"/>
            </a:ext>
          </a:extLst>
        </xdr:cNvPr>
        <xdr:cNvSpPr/>
      </xdr:nvSpPr>
      <xdr:spPr>
        <a:xfrm>
          <a:off x="22853955" y="22538190"/>
          <a:ext cx="1730751" cy="457200"/>
        </a:xfrm>
        <a:prstGeom prst="roundRect">
          <a:avLst/>
        </a:prstGeom>
        <a:solidFill>
          <a:schemeClr val="accent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/>
            <a:t>Processor</a:t>
          </a:r>
        </a:p>
      </xdr:txBody>
    </xdr:sp>
    <xdr:clientData/>
  </xdr:twoCellAnchor>
  <xdr:twoCellAnchor>
    <xdr:from>
      <xdr:col>30</xdr:col>
      <xdr:colOff>197990</xdr:colOff>
      <xdr:row>195</xdr:row>
      <xdr:rowOff>10209</xdr:rowOff>
    </xdr:from>
    <xdr:to>
      <xdr:col>33</xdr:col>
      <xdr:colOff>547688</xdr:colOff>
      <xdr:row>197</xdr:row>
      <xdr:rowOff>119063</xdr:rowOff>
    </xdr:to>
    <xdr:sp macro="" textlink="">
      <xdr:nvSpPr>
        <xdr:cNvPr id="171" name="Rectangle: Rounded Corners 170">
          <a:extLst>
            <a:ext uri="{FF2B5EF4-FFF2-40B4-BE49-F238E27FC236}">
              <a16:creationId xmlns:a16="http://schemas.microsoft.com/office/drawing/2014/main" id="{D12C9E04-E86E-4AFB-8572-FDD27ED36F53}"/>
            </a:ext>
          </a:extLst>
        </xdr:cNvPr>
        <xdr:cNvSpPr/>
      </xdr:nvSpPr>
      <xdr:spPr>
        <a:xfrm>
          <a:off x="28058615" y="22489209"/>
          <a:ext cx="2207073" cy="489854"/>
        </a:xfrm>
        <a:prstGeom prst="roundRect">
          <a:avLst/>
        </a:prstGeom>
        <a:solidFill>
          <a:schemeClr val="accent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 baseline="0"/>
            <a:t>Loader/Forwarder</a:t>
          </a:r>
          <a:endParaRPr lang="en-US" sz="2000" b="1"/>
        </a:p>
      </xdr:txBody>
    </xdr:sp>
    <xdr:clientData/>
  </xdr:twoCellAnchor>
  <xdr:twoCellAnchor>
    <xdr:from>
      <xdr:col>21</xdr:col>
      <xdr:colOff>506866</xdr:colOff>
      <xdr:row>188</xdr:row>
      <xdr:rowOff>105457</xdr:rowOff>
    </xdr:from>
    <xdr:to>
      <xdr:col>24</xdr:col>
      <xdr:colOff>574902</xdr:colOff>
      <xdr:row>194</xdr:row>
      <xdr:rowOff>23815</xdr:rowOff>
    </xdr:to>
    <xdr:sp macro="" textlink="">
      <xdr:nvSpPr>
        <xdr:cNvPr id="172" name="Speech Bubble: Rectangle with Corners Rounded 171">
          <a:extLst>
            <a:ext uri="{FF2B5EF4-FFF2-40B4-BE49-F238E27FC236}">
              <a16:creationId xmlns:a16="http://schemas.microsoft.com/office/drawing/2014/main" id="{64EE468D-9273-47AD-82F6-402352950C70}"/>
            </a:ext>
          </a:extLst>
        </xdr:cNvPr>
        <xdr:cNvSpPr/>
      </xdr:nvSpPr>
      <xdr:spPr>
        <a:xfrm>
          <a:off x="22795366" y="21250957"/>
          <a:ext cx="1925411" cy="1061358"/>
        </a:xfrm>
        <a:prstGeom prst="wedgeRoundRectCallout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aseline="0"/>
            <a:t>WT harvesting method</a:t>
          </a:r>
        </a:p>
        <a:p>
          <a:pPr algn="l"/>
          <a:r>
            <a:rPr lang="en-US" sz="1100" baseline="0"/>
            <a:t>Need processing at landing</a:t>
          </a:r>
        </a:p>
        <a:p>
          <a:pPr algn="l"/>
          <a:endParaRPr lang="en-US" sz="1100"/>
        </a:p>
      </xdr:txBody>
    </xdr:sp>
    <xdr:clientData/>
  </xdr:twoCellAnchor>
  <xdr:twoCellAnchor>
    <xdr:from>
      <xdr:col>30</xdr:col>
      <xdr:colOff>217035</xdr:colOff>
      <xdr:row>188</xdr:row>
      <xdr:rowOff>64636</xdr:rowOff>
    </xdr:from>
    <xdr:to>
      <xdr:col>33</xdr:col>
      <xdr:colOff>520475</xdr:colOff>
      <xdr:row>193</xdr:row>
      <xdr:rowOff>162608</xdr:rowOff>
    </xdr:to>
    <xdr:sp macro="" textlink="">
      <xdr:nvSpPr>
        <xdr:cNvPr id="173" name="Speech Bubble: Rectangle with Corners Rounded 172">
          <a:extLst>
            <a:ext uri="{FF2B5EF4-FFF2-40B4-BE49-F238E27FC236}">
              <a16:creationId xmlns:a16="http://schemas.microsoft.com/office/drawing/2014/main" id="{8F1376B7-39C3-46AA-9402-173A738B5B0E}"/>
            </a:ext>
          </a:extLst>
        </xdr:cNvPr>
        <xdr:cNvSpPr/>
      </xdr:nvSpPr>
      <xdr:spPr>
        <a:xfrm>
          <a:off x="28077660" y="21210136"/>
          <a:ext cx="2160815" cy="1050472"/>
        </a:xfrm>
        <a:prstGeom prst="wedgeRoundRectCallout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aseline="0"/>
            <a:t>Need to load logs to truck</a:t>
          </a:r>
        </a:p>
        <a:p>
          <a:pPr algn="l"/>
          <a:r>
            <a:rPr lang="en-US" sz="1100" baseline="0"/>
            <a:t>(Except self load truck)</a:t>
          </a:r>
        </a:p>
        <a:p>
          <a:pPr algn="l"/>
          <a:r>
            <a:rPr lang="en-US" sz="1100" baseline="0"/>
            <a:t>Need to load wood chips to van</a:t>
          </a:r>
        </a:p>
        <a:p>
          <a:pPr algn="l"/>
          <a:r>
            <a:rPr lang="en-US" sz="1100"/>
            <a:t>(cold loading)</a:t>
          </a:r>
        </a:p>
      </xdr:txBody>
    </xdr:sp>
    <xdr:clientData/>
  </xdr:twoCellAnchor>
  <xdr:twoCellAnchor>
    <xdr:from>
      <xdr:col>25</xdr:col>
      <xdr:colOff>483812</xdr:colOff>
      <xdr:row>195</xdr:row>
      <xdr:rowOff>45583</xdr:rowOff>
    </xdr:from>
    <xdr:to>
      <xdr:col>29</xdr:col>
      <xdr:colOff>384403</xdr:colOff>
      <xdr:row>197</xdr:row>
      <xdr:rowOff>121783</xdr:rowOff>
    </xdr:to>
    <xdr:sp macro="" textlink="">
      <xdr:nvSpPr>
        <xdr:cNvPr id="191" name="Rectangle: Rounded Corners 190">
          <a:extLst>
            <a:ext uri="{FF2B5EF4-FFF2-40B4-BE49-F238E27FC236}">
              <a16:creationId xmlns:a16="http://schemas.microsoft.com/office/drawing/2014/main" id="{638AF0C1-D60B-49F7-834F-F0D1EE4A5BAB}"/>
            </a:ext>
          </a:extLst>
        </xdr:cNvPr>
        <xdr:cNvSpPr/>
      </xdr:nvSpPr>
      <xdr:spPr>
        <a:xfrm>
          <a:off x="25248812" y="22524583"/>
          <a:ext cx="2377091" cy="457200"/>
        </a:xfrm>
        <a:prstGeom prst="roundRect">
          <a:avLst/>
        </a:prstGeom>
        <a:solidFill>
          <a:schemeClr val="accent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/>
            <a:t>Chipper</a:t>
          </a:r>
          <a:r>
            <a:rPr lang="en-US" sz="2000" b="1" baseline="0"/>
            <a:t> &amp; Grinder</a:t>
          </a:r>
          <a:endParaRPr lang="en-US" sz="2000" b="1"/>
        </a:p>
      </xdr:txBody>
    </xdr:sp>
    <xdr:clientData/>
  </xdr:twoCellAnchor>
  <xdr:twoCellAnchor>
    <xdr:from>
      <xdr:col>25</xdr:col>
      <xdr:colOff>577621</xdr:colOff>
      <xdr:row>188</xdr:row>
      <xdr:rowOff>91850</xdr:rowOff>
    </xdr:from>
    <xdr:to>
      <xdr:col>29</xdr:col>
      <xdr:colOff>255133</xdr:colOff>
      <xdr:row>193</xdr:row>
      <xdr:rowOff>189822</xdr:rowOff>
    </xdr:to>
    <xdr:sp macro="" textlink="">
      <xdr:nvSpPr>
        <xdr:cNvPr id="195" name="Speech Bubble: Rectangle with Corners Rounded 194">
          <a:extLst>
            <a:ext uri="{FF2B5EF4-FFF2-40B4-BE49-F238E27FC236}">
              <a16:creationId xmlns:a16="http://schemas.microsoft.com/office/drawing/2014/main" id="{F5BFB5D7-323A-4200-B159-8FF030BB4D78}"/>
            </a:ext>
          </a:extLst>
        </xdr:cNvPr>
        <xdr:cNvSpPr/>
      </xdr:nvSpPr>
      <xdr:spPr>
        <a:xfrm>
          <a:off x="25342621" y="21237350"/>
          <a:ext cx="2154012" cy="1050472"/>
        </a:xfrm>
        <a:prstGeom prst="wedgeRoundRectCallout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aseline="0"/>
            <a:t>Produce biomass</a:t>
          </a:r>
        </a:p>
        <a:p>
          <a:pPr algn="l"/>
          <a:endParaRPr lang="en-US" sz="1100"/>
        </a:p>
      </xdr:txBody>
    </xdr:sp>
    <xdr:clientData/>
  </xdr:twoCellAnchor>
  <xdr:twoCellAnchor>
    <xdr:from>
      <xdr:col>1</xdr:col>
      <xdr:colOff>106140</xdr:colOff>
      <xdr:row>188</xdr:row>
      <xdr:rowOff>171452</xdr:rowOff>
    </xdr:from>
    <xdr:to>
      <xdr:col>4</xdr:col>
      <xdr:colOff>149682</xdr:colOff>
      <xdr:row>190</xdr:row>
      <xdr:rowOff>176894</xdr:rowOff>
    </xdr:to>
    <xdr:sp macro="" textlink="">
      <xdr:nvSpPr>
        <xdr:cNvPr id="200" name="Rectangle: Rounded Corners 199">
          <a:extLst>
            <a:ext uri="{FF2B5EF4-FFF2-40B4-BE49-F238E27FC236}">
              <a16:creationId xmlns:a16="http://schemas.microsoft.com/office/drawing/2014/main" id="{CA2460C0-1B54-4BD7-BB91-1B10D93A11F5}"/>
            </a:ext>
          </a:extLst>
        </xdr:cNvPr>
        <xdr:cNvSpPr/>
      </xdr:nvSpPr>
      <xdr:spPr>
        <a:xfrm>
          <a:off x="9903283" y="31032452"/>
          <a:ext cx="1880506" cy="386442"/>
        </a:xfrm>
        <a:prstGeom prst="roundRect">
          <a:avLst/>
        </a:prstGeom>
        <a:solidFill>
          <a:schemeClr val="accent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 baseline="0"/>
            <a:t>Log Truck</a:t>
          </a:r>
          <a:endParaRPr lang="en-US" sz="2000" b="1"/>
        </a:p>
      </xdr:txBody>
    </xdr:sp>
    <xdr:clientData/>
  </xdr:twoCellAnchor>
  <xdr:twoCellAnchor>
    <xdr:from>
      <xdr:col>8</xdr:col>
      <xdr:colOff>585107</xdr:colOff>
      <xdr:row>152</xdr:row>
      <xdr:rowOff>54429</xdr:rowOff>
    </xdr:from>
    <xdr:to>
      <xdr:col>11</xdr:col>
      <xdr:colOff>122465</xdr:colOff>
      <xdr:row>154</xdr:row>
      <xdr:rowOff>149679</xdr:rowOff>
    </xdr:to>
    <xdr:sp macro="" textlink="">
      <xdr:nvSpPr>
        <xdr:cNvPr id="211" name="Flowchart: Decision 210">
          <a:extLst>
            <a:ext uri="{FF2B5EF4-FFF2-40B4-BE49-F238E27FC236}">
              <a16:creationId xmlns:a16="http://schemas.microsoft.com/office/drawing/2014/main" id="{B6EEFFAF-67AE-4FC5-BA09-1BFF1D164EC9}"/>
            </a:ext>
          </a:extLst>
        </xdr:cNvPr>
        <xdr:cNvSpPr/>
      </xdr:nvSpPr>
      <xdr:spPr>
        <a:xfrm>
          <a:off x="14668500" y="24057429"/>
          <a:ext cx="1374322" cy="476250"/>
        </a:xfrm>
        <a:prstGeom prst="flowChartDecision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/>
            <a:t>TL</a:t>
          </a:r>
        </a:p>
      </xdr:txBody>
    </xdr:sp>
    <xdr:clientData/>
  </xdr:twoCellAnchor>
  <xdr:twoCellAnchor>
    <xdr:from>
      <xdr:col>13</xdr:col>
      <xdr:colOff>449036</xdr:colOff>
      <xdr:row>152</xdr:row>
      <xdr:rowOff>81644</xdr:rowOff>
    </xdr:from>
    <xdr:to>
      <xdr:col>15</xdr:col>
      <xdr:colOff>598715</xdr:colOff>
      <xdr:row>154</xdr:row>
      <xdr:rowOff>176894</xdr:rowOff>
    </xdr:to>
    <xdr:sp macro="" textlink="">
      <xdr:nvSpPr>
        <xdr:cNvPr id="212" name="Flowchart: Decision 211">
          <a:extLst>
            <a:ext uri="{FF2B5EF4-FFF2-40B4-BE49-F238E27FC236}">
              <a16:creationId xmlns:a16="http://schemas.microsoft.com/office/drawing/2014/main" id="{30845B10-ABE1-4663-88E5-D2612B60308D}"/>
            </a:ext>
          </a:extLst>
        </xdr:cNvPr>
        <xdr:cNvSpPr/>
      </xdr:nvSpPr>
      <xdr:spPr>
        <a:xfrm>
          <a:off x="17594036" y="24084644"/>
          <a:ext cx="1374322" cy="476250"/>
        </a:xfrm>
        <a:prstGeom prst="flowChartDecision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/>
            <a:t>CTL</a:t>
          </a:r>
        </a:p>
      </xdr:txBody>
    </xdr:sp>
    <xdr:clientData/>
  </xdr:twoCellAnchor>
  <xdr:twoCellAnchor>
    <xdr:from>
      <xdr:col>13</xdr:col>
      <xdr:colOff>223157</xdr:colOff>
      <xdr:row>157</xdr:row>
      <xdr:rowOff>185056</xdr:rowOff>
    </xdr:from>
    <xdr:to>
      <xdr:col>16</xdr:col>
      <xdr:colOff>217714</xdr:colOff>
      <xdr:row>160</xdr:row>
      <xdr:rowOff>70756</xdr:rowOff>
    </xdr:to>
    <xdr:sp macro="" textlink="">
      <xdr:nvSpPr>
        <xdr:cNvPr id="213" name="Rectangle: Rounded Corners 212">
          <a:extLst>
            <a:ext uri="{FF2B5EF4-FFF2-40B4-BE49-F238E27FC236}">
              <a16:creationId xmlns:a16="http://schemas.microsoft.com/office/drawing/2014/main" id="{E6123D50-B515-4E70-A585-42592B841B25}"/>
            </a:ext>
          </a:extLst>
        </xdr:cNvPr>
        <xdr:cNvSpPr/>
      </xdr:nvSpPr>
      <xdr:spPr>
        <a:xfrm>
          <a:off x="17368157" y="25140556"/>
          <a:ext cx="1831521" cy="457200"/>
        </a:xfrm>
        <a:prstGeom prst="roundRect">
          <a:avLst/>
        </a:prstGeom>
        <a:solidFill>
          <a:schemeClr val="accent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/>
            <a:t>Harvester</a:t>
          </a:r>
        </a:p>
      </xdr:txBody>
    </xdr:sp>
    <xdr:clientData/>
  </xdr:twoCellAnchor>
  <xdr:twoCellAnchor>
    <xdr:from>
      <xdr:col>8</xdr:col>
      <xdr:colOff>412374</xdr:colOff>
      <xdr:row>157</xdr:row>
      <xdr:rowOff>185056</xdr:rowOff>
    </xdr:from>
    <xdr:to>
      <xdr:col>11</xdr:col>
      <xdr:colOff>285750</xdr:colOff>
      <xdr:row>160</xdr:row>
      <xdr:rowOff>70756</xdr:rowOff>
    </xdr:to>
    <xdr:sp macro="" textlink="">
      <xdr:nvSpPr>
        <xdr:cNvPr id="216" name="Rectangle: Rounded Corners 215">
          <a:extLst>
            <a:ext uri="{FF2B5EF4-FFF2-40B4-BE49-F238E27FC236}">
              <a16:creationId xmlns:a16="http://schemas.microsoft.com/office/drawing/2014/main" id="{BD409081-8B80-499F-A44A-CA4CF49ACEE5}"/>
            </a:ext>
          </a:extLst>
        </xdr:cNvPr>
        <xdr:cNvSpPr/>
      </xdr:nvSpPr>
      <xdr:spPr>
        <a:xfrm>
          <a:off x="14495767" y="25140556"/>
          <a:ext cx="1710340" cy="457200"/>
        </a:xfrm>
        <a:prstGeom prst="roundRect">
          <a:avLst/>
        </a:prstGeom>
        <a:solidFill>
          <a:schemeClr val="accent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/>
            <a:t>Chainsaw</a:t>
          </a:r>
        </a:p>
      </xdr:txBody>
    </xdr:sp>
    <xdr:clientData/>
  </xdr:twoCellAnchor>
  <xdr:twoCellAnchor>
    <xdr:from>
      <xdr:col>3</xdr:col>
      <xdr:colOff>181052</xdr:colOff>
      <xdr:row>165</xdr:row>
      <xdr:rowOff>35377</xdr:rowOff>
    </xdr:from>
    <xdr:to>
      <xdr:col>6</xdr:col>
      <xdr:colOff>54428</xdr:colOff>
      <xdr:row>167</xdr:row>
      <xdr:rowOff>111577</xdr:rowOff>
    </xdr:to>
    <xdr:sp macro="" textlink="">
      <xdr:nvSpPr>
        <xdr:cNvPr id="217" name="Rectangle: Rounded Corners 216">
          <a:extLst>
            <a:ext uri="{FF2B5EF4-FFF2-40B4-BE49-F238E27FC236}">
              <a16:creationId xmlns:a16="http://schemas.microsoft.com/office/drawing/2014/main" id="{5766ED81-209B-4CC6-BA89-C9772725E463}"/>
            </a:ext>
          </a:extLst>
        </xdr:cNvPr>
        <xdr:cNvSpPr/>
      </xdr:nvSpPr>
      <xdr:spPr>
        <a:xfrm>
          <a:off x="11202838" y="26514877"/>
          <a:ext cx="1710340" cy="457200"/>
        </a:xfrm>
        <a:prstGeom prst="roundRect">
          <a:avLst/>
        </a:prstGeom>
        <a:solidFill>
          <a:schemeClr val="accent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/>
            <a:t>Skidder</a:t>
          </a:r>
        </a:p>
      </xdr:txBody>
    </xdr:sp>
    <xdr:clientData/>
  </xdr:twoCellAnchor>
  <xdr:twoCellAnchor>
    <xdr:from>
      <xdr:col>13</xdr:col>
      <xdr:colOff>214997</xdr:colOff>
      <xdr:row>165</xdr:row>
      <xdr:rowOff>40825</xdr:rowOff>
    </xdr:from>
    <xdr:to>
      <xdr:col>16</xdr:col>
      <xdr:colOff>258539</xdr:colOff>
      <xdr:row>167</xdr:row>
      <xdr:rowOff>117025</xdr:rowOff>
    </xdr:to>
    <xdr:sp macro="" textlink="">
      <xdr:nvSpPr>
        <xdr:cNvPr id="218" name="Rectangle: Rounded Corners 217">
          <a:extLst>
            <a:ext uri="{FF2B5EF4-FFF2-40B4-BE49-F238E27FC236}">
              <a16:creationId xmlns:a16="http://schemas.microsoft.com/office/drawing/2014/main" id="{7EDCB761-15A5-4670-A9D3-2E7CF0224B60}"/>
            </a:ext>
          </a:extLst>
        </xdr:cNvPr>
        <xdr:cNvSpPr/>
      </xdr:nvSpPr>
      <xdr:spPr>
        <a:xfrm>
          <a:off x="17359997" y="26520325"/>
          <a:ext cx="1880506" cy="457200"/>
        </a:xfrm>
        <a:prstGeom prst="roundRect">
          <a:avLst/>
        </a:prstGeom>
        <a:solidFill>
          <a:schemeClr val="accent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 baseline="0"/>
            <a:t>Forwarder</a:t>
          </a:r>
          <a:endParaRPr lang="en-US" sz="2000" b="1"/>
        </a:p>
      </xdr:txBody>
    </xdr:sp>
    <xdr:clientData/>
  </xdr:twoCellAnchor>
  <xdr:twoCellAnchor>
    <xdr:from>
      <xdr:col>8</xdr:col>
      <xdr:colOff>223156</xdr:colOff>
      <xdr:row>165</xdr:row>
      <xdr:rowOff>8164</xdr:rowOff>
    </xdr:from>
    <xdr:to>
      <xdr:col>11</xdr:col>
      <xdr:colOff>510344</xdr:colOff>
      <xdr:row>167</xdr:row>
      <xdr:rowOff>84364</xdr:rowOff>
    </xdr:to>
    <xdr:sp macro="" textlink="">
      <xdr:nvSpPr>
        <xdr:cNvPr id="219" name="Rectangle: Rounded Corners 218">
          <a:extLst>
            <a:ext uri="{FF2B5EF4-FFF2-40B4-BE49-F238E27FC236}">
              <a16:creationId xmlns:a16="http://schemas.microsoft.com/office/drawing/2014/main" id="{273C2A64-EDD6-4D2C-B41D-8E0A5DDC59C3}"/>
            </a:ext>
          </a:extLst>
        </xdr:cNvPr>
        <xdr:cNvSpPr/>
      </xdr:nvSpPr>
      <xdr:spPr>
        <a:xfrm>
          <a:off x="14306549" y="26487664"/>
          <a:ext cx="2124152" cy="457200"/>
        </a:xfrm>
        <a:prstGeom prst="roundRect">
          <a:avLst/>
        </a:prstGeom>
        <a:solidFill>
          <a:schemeClr val="accent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/>
            <a:t>Cable Yarder</a:t>
          </a:r>
        </a:p>
      </xdr:txBody>
    </xdr:sp>
    <xdr:clientData/>
  </xdr:twoCellAnchor>
  <xdr:twoCellAnchor>
    <xdr:from>
      <xdr:col>4</xdr:col>
      <xdr:colOff>295353</xdr:colOff>
      <xdr:row>178</xdr:row>
      <xdr:rowOff>32657</xdr:rowOff>
    </xdr:from>
    <xdr:to>
      <xdr:col>8</xdr:col>
      <xdr:colOff>195943</xdr:colOff>
      <xdr:row>180</xdr:row>
      <xdr:rowOff>108857</xdr:rowOff>
    </xdr:to>
    <xdr:sp macro="" textlink="">
      <xdr:nvSpPr>
        <xdr:cNvPr id="220" name="Rectangle: Rounded Corners 219">
          <a:extLst>
            <a:ext uri="{FF2B5EF4-FFF2-40B4-BE49-F238E27FC236}">
              <a16:creationId xmlns:a16="http://schemas.microsoft.com/office/drawing/2014/main" id="{8F3D60F5-AC9A-4878-9A79-E1E210127786}"/>
            </a:ext>
          </a:extLst>
        </xdr:cNvPr>
        <xdr:cNvSpPr/>
      </xdr:nvSpPr>
      <xdr:spPr>
        <a:xfrm>
          <a:off x="11877753" y="19273157"/>
          <a:ext cx="2338990" cy="457200"/>
        </a:xfrm>
        <a:prstGeom prst="roundRect">
          <a:avLst/>
        </a:prstGeom>
        <a:solidFill>
          <a:schemeClr val="accent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/>
            <a:t>Loader</a:t>
          </a:r>
        </a:p>
      </xdr:txBody>
    </xdr:sp>
    <xdr:clientData/>
  </xdr:twoCellAnchor>
  <xdr:twoCellAnchor>
    <xdr:from>
      <xdr:col>1</xdr:col>
      <xdr:colOff>106139</xdr:colOff>
      <xdr:row>181</xdr:row>
      <xdr:rowOff>149682</xdr:rowOff>
    </xdr:from>
    <xdr:to>
      <xdr:col>4</xdr:col>
      <xdr:colOff>149681</xdr:colOff>
      <xdr:row>184</xdr:row>
      <xdr:rowOff>35382</xdr:rowOff>
    </xdr:to>
    <xdr:sp macro="" textlink="">
      <xdr:nvSpPr>
        <xdr:cNvPr id="221" name="Rectangle: Rounded Corners 220">
          <a:extLst>
            <a:ext uri="{FF2B5EF4-FFF2-40B4-BE49-F238E27FC236}">
              <a16:creationId xmlns:a16="http://schemas.microsoft.com/office/drawing/2014/main" id="{0B80790F-CB96-418C-BF8C-0C28C9A1E8CC}"/>
            </a:ext>
          </a:extLst>
        </xdr:cNvPr>
        <xdr:cNvSpPr/>
      </xdr:nvSpPr>
      <xdr:spPr>
        <a:xfrm>
          <a:off x="9903282" y="29677182"/>
          <a:ext cx="1880506" cy="457200"/>
        </a:xfrm>
        <a:prstGeom prst="roundRect">
          <a:avLst/>
        </a:prstGeom>
        <a:solidFill>
          <a:schemeClr val="accent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 baseline="0"/>
            <a:t>Loader</a:t>
          </a:r>
          <a:endParaRPr lang="en-US" sz="2000" b="1"/>
        </a:p>
      </xdr:txBody>
    </xdr:sp>
    <xdr:clientData/>
  </xdr:twoCellAnchor>
  <xdr:twoCellAnchor>
    <xdr:from>
      <xdr:col>3</xdr:col>
      <xdr:colOff>194661</xdr:colOff>
      <xdr:row>171</xdr:row>
      <xdr:rowOff>171449</xdr:rowOff>
    </xdr:from>
    <xdr:to>
      <xdr:col>6</xdr:col>
      <xdr:colOff>68037</xdr:colOff>
      <xdr:row>174</xdr:row>
      <xdr:rowOff>57149</xdr:rowOff>
    </xdr:to>
    <xdr:sp macro="" textlink="">
      <xdr:nvSpPr>
        <xdr:cNvPr id="222" name="Rectangle: Rounded Corners 221">
          <a:extLst>
            <a:ext uri="{FF2B5EF4-FFF2-40B4-BE49-F238E27FC236}">
              <a16:creationId xmlns:a16="http://schemas.microsoft.com/office/drawing/2014/main" id="{39D3A84D-336E-4ED0-AD11-2C722BD2E529}"/>
            </a:ext>
          </a:extLst>
        </xdr:cNvPr>
        <xdr:cNvSpPr/>
      </xdr:nvSpPr>
      <xdr:spPr>
        <a:xfrm>
          <a:off x="11216447" y="27793949"/>
          <a:ext cx="1710340" cy="457200"/>
        </a:xfrm>
        <a:prstGeom prst="roundRect">
          <a:avLst/>
        </a:prstGeom>
        <a:solidFill>
          <a:schemeClr val="accent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/>
            <a:t>Processor</a:t>
          </a:r>
        </a:p>
      </xdr:txBody>
    </xdr:sp>
    <xdr:clientData/>
  </xdr:twoCellAnchor>
  <xdr:twoCellAnchor>
    <xdr:from>
      <xdr:col>8</xdr:col>
      <xdr:colOff>439590</xdr:colOff>
      <xdr:row>172</xdr:row>
      <xdr:rowOff>8163</xdr:rowOff>
    </xdr:from>
    <xdr:to>
      <xdr:col>11</xdr:col>
      <xdr:colOff>312966</xdr:colOff>
      <xdr:row>174</xdr:row>
      <xdr:rowOff>84363</xdr:rowOff>
    </xdr:to>
    <xdr:sp macro="" textlink="">
      <xdr:nvSpPr>
        <xdr:cNvPr id="223" name="Rectangle: Rounded Corners 222">
          <a:extLst>
            <a:ext uri="{FF2B5EF4-FFF2-40B4-BE49-F238E27FC236}">
              <a16:creationId xmlns:a16="http://schemas.microsoft.com/office/drawing/2014/main" id="{323B5D9C-9AFE-47DD-A7BF-38DA166E3E26}"/>
            </a:ext>
          </a:extLst>
        </xdr:cNvPr>
        <xdr:cNvSpPr/>
      </xdr:nvSpPr>
      <xdr:spPr>
        <a:xfrm>
          <a:off x="14522983" y="27821163"/>
          <a:ext cx="1710340" cy="457200"/>
        </a:xfrm>
        <a:prstGeom prst="roundRect">
          <a:avLst/>
        </a:prstGeom>
        <a:solidFill>
          <a:schemeClr val="accent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/>
            <a:t>Processor</a:t>
          </a:r>
        </a:p>
      </xdr:txBody>
    </xdr:sp>
    <xdr:clientData/>
  </xdr:twoCellAnchor>
  <xdr:twoCellAnchor>
    <xdr:from>
      <xdr:col>13</xdr:col>
      <xdr:colOff>242212</xdr:colOff>
      <xdr:row>180</xdr:row>
      <xdr:rowOff>51955</xdr:rowOff>
    </xdr:from>
    <xdr:to>
      <xdr:col>16</xdr:col>
      <xdr:colOff>285754</xdr:colOff>
      <xdr:row>184</xdr:row>
      <xdr:rowOff>138545</xdr:rowOff>
    </xdr:to>
    <xdr:sp macro="" textlink="">
      <xdr:nvSpPr>
        <xdr:cNvPr id="224" name="Rectangle: Rounded Corners 223">
          <a:extLst>
            <a:ext uri="{FF2B5EF4-FFF2-40B4-BE49-F238E27FC236}">
              <a16:creationId xmlns:a16="http://schemas.microsoft.com/office/drawing/2014/main" id="{93D6A9DF-61B0-4D9F-9009-74602E5F8CB4}"/>
            </a:ext>
          </a:extLst>
        </xdr:cNvPr>
        <xdr:cNvSpPr/>
      </xdr:nvSpPr>
      <xdr:spPr>
        <a:xfrm>
          <a:off x="17214030" y="19673455"/>
          <a:ext cx="1861951" cy="848590"/>
        </a:xfrm>
        <a:prstGeom prst="roundRect">
          <a:avLst/>
        </a:prstGeom>
        <a:solidFill>
          <a:schemeClr val="accent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 baseline="0"/>
            <a:t>Forwarder</a:t>
          </a:r>
          <a:br>
            <a:rPr lang="en-US" sz="2000" b="1" baseline="0"/>
          </a:br>
          <a:r>
            <a:rPr lang="en-US" sz="2000" b="1" baseline="0"/>
            <a:t>/Loader</a:t>
          </a:r>
          <a:endParaRPr lang="en-US" sz="2000" b="1"/>
        </a:p>
      </xdr:txBody>
    </xdr:sp>
    <xdr:clientData/>
  </xdr:twoCellAnchor>
  <xdr:twoCellAnchor>
    <xdr:from>
      <xdr:col>5</xdr:col>
      <xdr:colOff>4158</xdr:colOff>
      <xdr:row>188</xdr:row>
      <xdr:rowOff>103413</xdr:rowOff>
    </xdr:from>
    <xdr:to>
      <xdr:col>7</xdr:col>
      <xdr:colOff>489856</xdr:colOff>
      <xdr:row>190</xdr:row>
      <xdr:rowOff>179613</xdr:rowOff>
    </xdr:to>
    <xdr:sp macro="" textlink="">
      <xdr:nvSpPr>
        <xdr:cNvPr id="225" name="Rectangle: Rounded Corners 224">
          <a:extLst>
            <a:ext uri="{FF2B5EF4-FFF2-40B4-BE49-F238E27FC236}">
              <a16:creationId xmlns:a16="http://schemas.microsoft.com/office/drawing/2014/main" id="{DAE7CC49-878C-49D7-9B1D-ECFD494029A0}"/>
            </a:ext>
          </a:extLst>
        </xdr:cNvPr>
        <xdr:cNvSpPr/>
      </xdr:nvSpPr>
      <xdr:spPr>
        <a:xfrm>
          <a:off x="12250587" y="30964413"/>
          <a:ext cx="1710340" cy="457200"/>
        </a:xfrm>
        <a:prstGeom prst="roundRect">
          <a:avLst/>
        </a:prstGeom>
        <a:solidFill>
          <a:schemeClr val="accent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/>
            <a:t>Chip</a:t>
          </a:r>
          <a:r>
            <a:rPr lang="en-US" sz="2000" b="1" baseline="0"/>
            <a:t> Van</a:t>
          </a:r>
          <a:endParaRPr lang="en-US" sz="2000" b="1"/>
        </a:p>
      </xdr:txBody>
    </xdr:sp>
    <xdr:clientData/>
  </xdr:twoCellAnchor>
  <xdr:twoCellAnchor>
    <xdr:from>
      <xdr:col>8</xdr:col>
      <xdr:colOff>378283</xdr:colOff>
      <xdr:row>181</xdr:row>
      <xdr:rowOff>122468</xdr:rowOff>
    </xdr:from>
    <xdr:to>
      <xdr:col>11</xdr:col>
      <xdr:colOff>421825</xdr:colOff>
      <xdr:row>184</xdr:row>
      <xdr:rowOff>8168</xdr:rowOff>
    </xdr:to>
    <xdr:sp macro="" textlink="">
      <xdr:nvSpPr>
        <xdr:cNvPr id="226" name="Rectangle: Rounded Corners 225">
          <a:extLst>
            <a:ext uri="{FF2B5EF4-FFF2-40B4-BE49-F238E27FC236}">
              <a16:creationId xmlns:a16="http://schemas.microsoft.com/office/drawing/2014/main" id="{2339DEDE-E029-49D6-A9C0-F3262D5C9A47}"/>
            </a:ext>
          </a:extLst>
        </xdr:cNvPr>
        <xdr:cNvSpPr/>
      </xdr:nvSpPr>
      <xdr:spPr>
        <a:xfrm>
          <a:off x="14461676" y="29649968"/>
          <a:ext cx="1880506" cy="457200"/>
        </a:xfrm>
        <a:prstGeom prst="roundRect">
          <a:avLst/>
        </a:prstGeom>
        <a:solidFill>
          <a:schemeClr val="accent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 baseline="0"/>
            <a:t>Loader</a:t>
          </a:r>
          <a:endParaRPr lang="en-US" sz="2000" b="1"/>
        </a:p>
      </xdr:txBody>
    </xdr:sp>
    <xdr:clientData/>
  </xdr:twoCellAnchor>
  <xdr:twoCellAnchor>
    <xdr:from>
      <xdr:col>8</xdr:col>
      <xdr:colOff>391890</xdr:colOff>
      <xdr:row>188</xdr:row>
      <xdr:rowOff>171452</xdr:rowOff>
    </xdr:from>
    <xdr:to>
      <xdr:col>11</xdr:col>
      <xdr:colOff>435432</xdr:colOff>
      <xdr:row>190</xdr:row>
      <xdr:rowOff>176894</xdr:rowOff>
    </xdr:to>
    <xdr:sp macro="" textlink="">
      <xdr:nvSpPr>
        <xdr:cNvPr id="227" name="Rectangle: Rounded Corners 226">
          <a:extLst>
            <a:ext uri="{FF2B5EF4-FFF2-40B4-BE49-F238E27FC236}">
              <a16:creationId xmlns:a16="http://schemas.microsoft.com/office/drawing/2014/main" id="{0155E5C3-BF65-4F13-B97D-7F94CF6CAF03}"/>
            </a:ext>
          </a:extLst>
        </xdr:cNvPr>
        <xdr:cNvSpPr/>
      </xdr:nvSpPr>
      <xdr:spPr>
        <a:xfrm>
          <a:off x="14475283" y="31032452"/>
          <a:ext cx="1880506" cy="386442"/>
        </a:xfrm>
        <a:prstGeom prst="roundRect">
          <a:avLst/>
        </a:prstGeom>
        <a:solidFill>
          <a:schemeClr val="accent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 baseline="0"/>
            <a:t>Log Truck</a:t>
          </a:r>
          <a:endParaRPr lang="en-US" sz="2000" b="1"/>
        </a:p>
      </xdr:txBody>
    </xdr:sp>
    <xdr:clientData/>
  </xdr:twoCellAnchor>
  <xdr:twoCellAnchor>
    <xdr:from>
      <xdr:col>13</xdr:col>
      <xdr:colOff>255817</xdr:colOff>
      <xdr:row>188</xdr:row>
      <xdr:rowOff>185059</xdr:rowOff>
    </xdr:from>
    <xdr:to>
      <xdr:col>16</xdr:col>
      <xdr:colOff>299359</xdr:colOff>
      <xdr:row>191</xdr:row>
      <xdr:rowOff>1</xdr:rowOff>
    </xdr:to>
    <xdr:sp macro="" textlink="">
      <xdr:nvSpPr>
        <xdr:cNvPr id="228" name="Rectangle: Rounded Corners 227">
          <a:extLst>
            <a:ext uri="{FF2B5EF4-FFF2-40B4-BE49-F238E27FC236}">
              <a16:creationId xmlns:a16="http://schemas.microsoft.com/office/drawing/2014/main" id="{5761F7D3-F5D4-444F-B604-0E2756C675BB}"/>
            </a:ext>
          </a:extLst>
        </xdr:cNvPr>
        <xdr:cNvSpPr/>
      </xdr:nvSpPr>
      <xdr:spPr>
        <a:xfrm>
          <a:off x="17400817" y="31046059"/>
          <a:ext cx="1880506" cy="386442"/>
        </a:xfrm>
        <a:prstGeom prst="roundRect">
          <a:avLst/>
        </a:prstGeom>
        <a:solidFill>
          <a:schemeClr val="accent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 baseline="0"/>
            <a:t>Log Truck</a:t>
          </a:r>
          <a:endParaRPr lang="en-US" sz="2000" b="1"/>
        </a:p>
      </xdr:txBody>
    </xdr:sp>
    <xdr:clientData/>
  </xdr:twoCellAnchor>
  <xdr:twoCellAnchor>
    <xdr:from>
      <xdr:col>4</xdr:col>
      <xdr:colOff>342902</xdr:colOff>
      <xdr:row>182</xdr:row>
      <xdr:rowOff>174175</xdr:rowOff>
    </xdr:from>
    <xdr:to>
      <xdr:col>8</xdr:col>
      <xdr:colOff>152399</xdr:colOff>
      <xdr:row>185</xdr:row>
      <xdr:rowOff>133350</xdr:rowOff>
    </xdr:to>
    <xdr:sp macro="" textlink="">
      <xdr:nvSpPr>
        <xdr:cNvPr id="229" name="Rectangle: Rounded Corners 228">
          <a:extLst>
            <a:ext uri="{FF2B5EF4-FFF2-40B4-BE49-F238E27FC236}">
              <a16:creationId xmlns:a16="http://schemas.microsoft.com/office/drawing/2014/main" id="{DACFE96F-D984-41F0-AD9D-4BB88510A35D}"/>
            </a:ext>
          </a:extLst>
        </xdr:cNvPr>
        <xdr:cNvSpPr/>
      </xdr:nvSpPr>
      <xdr:spPr>
        <a:xfrm>
          <a:off x="11925302" y="20176675"/>
          <a:ext cx="2247897" cy="530675"/>
        </a:xfrm>
        <a:prstGeom prst="roundRect">
          <a:avLst/>
        </a:prstGeom>
        <a:solidFill>
          <a:schemeClr val="accent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 baseline="0"/>
            <a:t>Chipper or Grinder</a:t>
          </a:r>
          <a:endParaRPr lang="en-US" sz="2000" b="1"/>
        </a:p>
      </xdr:txBody>
    </xdr:sp>
    <xdr:clientData/>
  </xdr:twoCellAnchor>
  <xdr:twoCellAnchor>
    <xdr:from>
      <xdr:col>4</xdr:col>
      <xdr:colOff>423901</xdr:colOff>
      <xdr:row>160</xdr:row>
      <xdr:rowOff>70756</xdr:rowOff>
    </xdr:from>
    <xdr:to>
      <xdr:col>4</xdr:col>
      <xdr:colOff>423902</xdr:colOff>
      <xdr:row>165</xdr:row>
      <xdr:rowOff>35377</xdr:rowOff>
    </xdr:to>
    <xdr:cxnSp macro="">
      <xdr:nvCxnSpPr>
        <xdr:cNvPr id="231" name="Straight Arrow Connector 230">
          <a:extLst>
            <a:ext uri="{FF2B5EF4-FFF2-40B4-BE49-F238E27FC236}">
              <a16:creationId xmlns:a16="http://schemas.microsoft.com/office/drawing/2014/main" id="{92B79796-2A45-43FA-B786-E32BB320A52D}"/>
            </a:ext>
          </a:extLst>
        </xdr:cNvPr>
        <xdr:cNvCxnSpPr>
          <a:stCxn id="154" idx="2"/>
          <a:endCxn id="217" idx="0"/>
        </xdr:cNvCxnSpPr>
      </xdr:nvCxnSpPr>
      <xdr:spPr>
        <a:xfrm flipH="1">
          <a:off x="12058008" y="25597756"/>
          <a:ext cx="1" cy="91712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42901</xdr:colOff>
      <xdr:row>160</xdr:row>
      <xdr:rowOff>70756</xdr:rowOff>
    </xdr:from>
    <xdr:to>
      <xdr:col>10</xdr:col>
      <xdr:colOff>60589</xdr:colOff>
      <xdr:row>165</xdr:row>
      <xdr:rowOff>8164</xdr:rowOff>
    </xdr:to>
    <xdr:cxnSp macro="">
      <xdr:nvCxnSpPr>
        <xdr:cNvPr id="235" name="Straight Arrow Connector 234">
          <a:extLst>
            <a:ext uri="{FF2B5EF4-FFF2-40B4-BE49-F238E27FC236}">
              <a16:creationId xmlns:a16="http://schemas.microsoft.com/office/drawing/2014/main" id="{97C2E8A8-FA28-4DE2-AC6C-06D755ADB1CF}"/>
            </a:ext>
          </a:extLst>
        </xdr:cNvPr>
        <xdr:cNvCxnSpPr>
          <a:stCxn id="216" idx="2"/>
          <a:endCxn id="219" idx="0"/>
        </xdr:cNvCxnSpPr>
      </xdr:nvCxnSpPr>
      <xdr:spPr>
        <a:xfrm>
          <a:off x="15350937" y="25597756"/>
          <a:ext cx="17688" cy="889908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526597</xdr:colOff>
      <xdr:row>160</xdr:row>
      <xdr:rowOff>70756</xdr:rowOff>
    </xdr:from>
    <xdr:to>
      <xdr:col>14</xdr:col>
      <xdr:colOff>542929</xdr:colOff>
      <xdr:row>165</xdr:row>
      <xdr:rowOff>40825</xdr:rowOff>
    </xdr:to>
    <xdr:cxnSp macro="">
      <xdr:nvCxnSpPr>
        <xdr:cNvPr id="238" name="Straight Arrow Connector 237">
          <a:extLst>
            <a:ext uri="{FF2B5EF4-FFF2-40B4-BE49-F238E27FC236}">
              <a16:creationId xmlns:a16="http://schemas.microsoft.com/office/drawing/2014/main" id="{5BF0C98A-3A22-4D1D-8103-C01DE3AE6AE1}"/>
            </a:ext>
          </a:extLst>
        </xdr:cNvPr>
        <xdr:cNvCxnSpPr>
          <a:stCxn id="213" idx="2"/>
          <a:endCxn id="218" idx="0"/>
        </xdr:cNvCxnSpPr>
      </xdr:nvCxnSpPr>
      <xdr:spPr>
        <a:xfrm>
          <a:off x="18283918" y="25597756"/>
          <a:ext cx="16332" cy="922569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423901</xdr:colOff>
      <xdr:row>167</xdr:row>
      <xdr:rowOff>111577</xdr:rowOff>
    </xdr:from>
    <xdr:to>
      <xdr:col>4</xdr:col>
      <xdr:colOff>437510</xdr:colOff>
      <xdr:row>171</xdr:row>
      <xdr:rowOff>171449</xdr:rowOff>
    </xdr:to>
    <xdr:cxnSp macro="">
      <xdr:nvCxnSpPr>
        <xdr:cNvPr id="241" name="Straight Arrow Connector 240">
          <a:extLst>
            <a:ext uri="{FF2B5EF4-FFF2-40B4-BE49-F238E27FC236}">
              <a16:creationId xmlns:a16="http://schemas.microsoft.com/office/drawing/2014/main" id="{66292D46-2DBD-4615-8811-C708D8993016}"/>
            </a:ext>
          </a:extLst>
        </xdr:cNvPr>
        <xdr:cNvCxnSpPr>
          <a:stCxn id="217" idx="2"/>
          <a:endCxn id="222" idx="0"/>
        </xdr:cNvCxnSpPr>
      </xdr:nvCxnSpPr>
      <xdr:spPr>
        <a:xfrm>
          <a:off x="12058008" y="26972077"/>
          <a:ext cx="13609" cy="821872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60589</xdr:colOff>
      <xdr:row>167</xdr:row>
      <xdr:rowOff>84364</xdr:rowOff>
    </xdr:from>
    <xdr:to>
      <xdr:col>10</xdr:col>
      <xdr:colOff>70117</xdr:colOff>
      <xdr:row>172</xdr:row>
      <xdr:rowOff>8163</xdr:rowOff>
    </xdr:to>
    <xdr:cxnSp macro="">
      <xdr:nvCxnSpPr>
        <xdr:cNvPr id="244" name="Straight Arrow Connector 243">
          <a:extLst>
            <a:ext uri="{FF2B5EF4-FFF2-40B4-BE49-F238E27FC236}">
              <a16:creationId xmlns:a16="http://schemas.microsoft.com/office/drawing/2014/main" id="{211ED878-3DAA-4A5B-9D63-B30CE92B6359}"/>
            </a:ext>
          </a:extLst>
        </xdr:cNvPr>
        <xdr:cNvCxnSpPr>
          <a:stCxn id="219" idx="2"/>
          <a:endCxn id="223" idx="0"/>
        </xdr:cNvCxnSpPr>
      </xdr:nvCxnSpPr>
      <xdr:spPr>
        <a:xfrm>
          <a:off x="15368625" y="26944864"/>
          <a:ext cx="9528" cy="876299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434071</xdr:colOff>
      <xdr:row>184</xdr:row>
      <xdr:rowOff>35382</xdr:rowOff>
    </xdr:from>
    <xdr:to>
      <xdr:col>2</xdr:col>
      <xdr:colOff>434072</xdr:colOff>
      <xdr:row>188</xdr:row>
      <xdr:rowOff>171452</xdr:rowOff>
    </xdr:to>
    <xdr:cxnSp macro="">
      <xdr:nvCxnSpPr>
        <xdr:cNvPr id="248" name="Straight Arrow Connector 247">
          <a:extLst>
            <a:ext uri="{FF2B5EF4-FFF2-40B4-BE49-F238E27FC236}">
              <a16:creationId xmlns:a16="http://schemas.microsoft.com/office/drawing/2014/main" id="{CC7B7A3E-684B-4418-ADD2-7BF5317CEEB7}"/>
            </a:ext>
          </a:extLst>
        </xdr:cNvPr>
        <xdr:cNvCxnSpPr>
          <a:stCxn id="221" idx="2"/>
          <a:endCxn id="200" idx="0"/>
        </xdr:cNvCxnSpPr>
      </xdr:nvCxnSpPr>
      <xdr:spPr>
        <a:xfrm>
          <a:off x="10843535" y="30134382"/>
          <a:ext cx="1" cy="89807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247007</xdr:colOff>
      <xdr:row>185</xdr:row>
      <xdr:rowOff>133350</xdr:rowOff>
    </xdr:from>
    <xdr:to>
      <xdr:col>6</xdr:col>
      <xdr:colOff>247651</xdr:colOff>
      <xdr:row>188</xdr:row>
      <xdr:rowOff>103413</xdr:rowOff>
    </xdr:to>
    <xdr:cxnSp macro="">
      <xdr:nvCxnSpPr>
        <xdr:cNvPr id="249" name="Straight Arrow Connector 248">
          <a:extLst>
            <a:ext uri="{FF2B5EF4-FFF2-40B4-BE49-F238E27FC236}">
              <a16:creationId xmlns:a16="http://schemas.microsoft.com/office/drawing/2014/main" id="{42E57C30-B36A-4AD0-BD4D-B45CECFDDE7F}"/>
            </a:ext>
          </a:extLst>
        </xdr:cNvPr>
        <xdr:cNvCxnSpPr>
          <a:stCxn id="229" idx="2"/>
          <a:endCxn id="225" idx="0"/>
        </xdr:cNvCxnSpPr>
      </xdr:nvCxnSpPr>
      <xdr:spPr>
        <a:xfrm flipH="1">
          <a:off x="13048607" y="20707350"/>
          <a:ext cx="644" cy="541563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567051</xdr:colOff>
      <xdr:row>184</xdr:row>
      <xdr:rowOff>138545</xdr:rowOff>
    </xdr:from>
    <xdr:to>
      <xdr:col>14</xdr:col>
      <xdr:colOff>580656</xdr:colOff>
      <xdr:row>188</xdr:row>
      <xdr:rowOff>185059</xdr:rowOff>
    </xdr:to>
    <xdr:cxnSp macro="">
      <xdr:nvCxnSpPr>
        <xdr:cNvPr id="252" name="Straight Arrow Connector 251">
          <a:extLst>
            <a:ext uri="{FF2B5EF4-FFF2-40B4-BE49-F238E27FC236}">
              <a16:creationId xmlns:a16="http://schemas.microsoft.com/office/drawing/2014/main" id="{148F389C-7943-4488-9701-966776DA984F}"/>
            </a:ext>
          </a:extLst>
        </xdr:cNvPr>
        <xdr:cNvCxnSpPr>
          <a:stCxn id="224" idx="2"/>
          <a:endCxn id="228" idx="0"/>
        </xdr:cNvCxnSpPr>
      </xdr:nvCxnSpPr>
      <xdr:spPr>
        <a:xfrm>
          <a:off x="18145006" y="20522045"/>
          <a:ext cx="13605" cy="808514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539836</xdr:colOff>
      <xdr:row>167</xdr:row>
      <xdr:rowOff>117025</xdr:rowOff>
    </xdr:from>
    <xdr:to>
      <xdr:col>14</xdr:col>
      <xdr:colOff>567051</xdr:colOff>
      <xdr:row>180</xdr:row>
      <xdr:rowOff>51955</xdr:rowOff>
    </xdr:to>
    <xdr:cxnSp macro="">
      <xdr:nvCxnSpPr>
        <xdr:cNvPr id="257" name="Straight Arrow Connector 256">
          <a:extLst>
            <a:ext uri="{FF2B5EF4-FFF2-40B4-BE49-F238E27FC236}">
              <a16:creationId xmlns:a16="http://schemas.microsoft.com/office/drawing/2014/main" id="{6E0264F5-4EC6-4157-9DE3-F417AD5C9BD0}"/>
            </a:ext>
          </a:extLst>
        </xdr:cNvPr>
        <xdr:cNvCxnSpPr>
          <a:stCxn id="218" idx="2"/>
          <a:endCxn id="224" idx="0"/>
        </xdr:cNvCxnSpPr>
      </xdr:nvCxnSpPr>
      <xdr:spPr>
        <a:xfrm>
          <a:off x="18117791" y="17262025"/>
          <a:ext cx="27215" cy="241143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93893</xdr:colOff>
      <xdr:row>184</xdr:row>
      <xdr:rowOff>8168</xdr:rowOff>
    </xdr:from>
    <xdr:to>
      <xdr:col>10</xdr:col>
      <xdr:colOff>107500</xdr:colOff>
      <xdr:row>188</xdr:row>
      <xdr:rowOff>171452</xdr:rowOff>
    </xdr:to>
    <xdr:cxnSp macro="">
      <xdr:nvCxnSpPr>
        <xdr:cNvPr id="260" name="Straight Arrow Connector 259">
          <a:extLst>
            <a:ext uri="{FF2B5EF4-FFF2-40B4-BE49-F238E27FC236}">
              <a16:creationId xmlns:a16="http://schemas.microsoft.com/office/drawing/2014/main" id="{99C6D81F-72E2-486F-9C36-94E8634F02A7}"/>
            </a:ext>
          </a:extLst>
        </xdr:cNvPr>
        <xdr:cNvCxnSpPr>
          <a:stCxn id="226" idx="2"/>
          <a:endCxn id="227" idx="0"/>
        </xdr:cNvCxnSpPr>
      </xdr:nvCxnSpPr>
      <xdr:spPr>
        <a:xfrm>
          <a:off x="15401929" y="30107168"/>
          <a:ext cx="13607" cy="925284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70117</xdr:colOff>
      <xdr:row>174</xdr:row>
      <xdr:rowOff>84363</xdr:rowOff>
    </xdr:from>
    <xdr:to>
      <xdr:col>10</xdr:col>
      <xdr:colOff>93893</xdr:colOff>
      <xdr:row>181</xdr:row>
      <xdr:rowOff>122468</xdr:rowOff>
    </xdr:to>
    <xdr:cxnSp macro="">
      <xdr:nvCxnSpPr>
        <xdr:cNvPr id="263" name="Straight Arrow Connector 262">
          <a:extLst>
            <a:ext uri="{FF2B5EF4-FFF2-40B4-BE49-F238E27FC236}">
              <a16:creationId xmlns:a16="http://schemas.microsoft.com/office/drawing/2014/main" id="{78991C19-598F-4D40-B3F3-BF0B4E61E074}"/>
            </a:ext>
          </a:extLst>
        </xdr:cNvPr>
        <xdr:cNvCxnSpPr>
          <a:stCxn id="223" idx="2"/>
          <a:endCxn id="226" idx="0"/>
        </xdr:cNvCxnSpPr>
      </xdr:nvCxnSpPr>
      <xdr:spPr>
        <a:xfrm>
          <a:off x="15378153" y="28278363"/>
          <a:ext cx="23776" cy="137160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434072</xdr:colOff>
      <xdr:row>174</xdr:row>
      <xdr:rowOff>57148</xdr:rowOff>
    </xdr:from>
    <xdr:to>
      <xdr:col>4</xdr:col>
      <xdr:colOff>437511</xdr:colOff>
      <xdr:row>181</xdr:row>
      <xdr:rowOff>149681</xdr:rowOff>
    </xdr:to>
    <xdr:cxnSp macro="">
      <xdr:nvCxnSpPr>
        <xdr:cNvPr id="267" name="Connector: Elbow 266">
          <a:extLst>
            <a:ext uri="{FF2B5EF4-FFF2-40B4-BE49-F238E27FC236}">
              <a16:creationId xmlns:a16="http://schemas.microsoft.com/office/drawing/2014/main" id="{AC329CE5-2DE3-48F3-912C-C0DF0EA040BE}"/>
            </a:ext>
          </a:extLst>
        </xdr:cNvPr>
        <xdr:cNvCxnSpPr>
          <a:stCxn id="222" idx="2"/>
          <a:endCxn id="221" idx="0"/>
        </xdr:cNvCxnSpPr>
      </xdr:nvCxnSpPr>
      <xdr:spPr>
        <a:xfrm rot="5400000">
          <a:off x="10744560" y="28350124"/>
          <a:ext cx="1426033" cy="1228082"/>
        </a:xfrm>
        <a:prstGeom prst="bentConnector3">
          <a:avLst>
            <a:gd name="adj1" fmla="val 25191"/>
          </a:avLst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436148</xdr:colOff>
      <xdr:row>174</xdr:row>
      <xdr:rowOff>57149</xdr:rowOff>
    </xdr:from>
    <xdr:to>
      <xdr:col>6</xdr:col>
      <xdr:colOff>245647</xdr:colOff>
      <xdr:row>178</xdr:row>
      <xdr:rowOff>32657</xdr:rowOff>
    </xdr:to>
    <xdr:cxnSp macro="">
      <xdr:nvCxnSpPr>
        <xdr:cNvPr id="270" name="Connector: Elbow 269">
          <a:extLst>
            <a:ext uri="{FF2B5EF4-FFF2-40B4-BE49-F238E27FC236}">
              <a16:creationId xmlns:a16="http://schemas.microsoft.com/office/drawing/2014/main" id="{9B31D0D1-8361-459A-8AF9-67443C18B9D2}"/>
            </a:ext>
          </a:extLst>
        </xdr:cNvPr>
        <xdr:cNvCxnSpPr>
          <a:stCxn id="222" idx="2"/>
          <a:endCxn id="220" idx="0"/>
        </xdr:cNvCxnSpPr>
      </xdr:nvCxnSpPr>
      <xdr:spPr>
        <a:xfrm rot="16200000" flipH="1">
          <a:off x="12164144" y="18390053"/>
          <a:ext cx="737508" cy="1028699"/>
        </a:xfrm>
        <a:prstGeom prst="bentConnector3">
          <a:avLst>
            <a:gd name="adj1" fmla="val 50000"/>
          </a:avLst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245648</xdr:colOff>
      <xdr:row>180</xdr:row>
      <xdr:rowOff>108857</xdr:rowOff>
    </xdr:from>
    <xdr:to>
      <xdr:col>6</xdr:col>
      <xdr:colOff>247651</xdr:colOff>
      <xdr:row>182</xdr:row>
      <xdr:rowOff>174175</xdr:rowOff>
    </xdr:to>
    <xdr:cxnSp macro="">
      <xdr:nvCxnSpPr>
        <xdr:cNvPr id="273" name="Straight Arrow Connector 272">
          <a:extLst>
            <a:ext uri="{FF2B5EF4-FFF2-40B4-BE49-F238E27FC236}">
              <a16:creationId xmlns:a16="http://schemas.microsoft.com/office/drawing/2014/main" id="{148584E8-1FA4-43B5-B805-9DD5B9CEC288}"/>
            </a:ext>
          </a:extLst>
        </xdr:cNvPr>
        <xdr:cNvCxnSpPr>
          <a:stCxn id="220" idx="2"/>
          <a:endCxn id="229" idx="0"/>
        </xdr:cNvCxnSpPr>
      </xdr:nvCxnSpPr>
      <xdr:spPr>
        <a:xfrm>
          <a:off x="13047248" y="19730357"/>
          <a:ext cx="2003" cy="446318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489862</xdr:colOff>
      <xdr:row>198</xdr:row>
      <xdr:rowOff>185058</xdr:rowOff>
    </xdr:from>
    <xdr:to>
      <xdr:col>12</xdr:col>
      <xdr:colOff>76200</xdr:colOff>
      <xdr:row>201</xdr:row>
      <xdr:rowOff>171449</xdr:rowOff>
    </xdr:to>
    <xdr:sp macro="" textlink="">
      <xdr:nvSpPr>
        <xdr:cNvPr id="280" name="Rectangle: Rounded Corners 279">
          <a:extLst>
            <a:ext uri="{FF2B5EF4-FFF2-40B4-BE49-F238E27FC236}">
              <a16:creationId xmlns:a16="http://schemas.microsoft.com/office/drawing/2014/main" id="{8446B0A6-6875-4836-854D-75B9F6853605}"/>
            </a:ext>
          </a:extLst>
        </xdr:cNvPr>
        <xdr:cNvSpPr/>
      </xdr:nvSpPr>
      <xdr:spPr>
        <a:xfrm>
          <a:off x="12072262" y="23235558"/>
          <a:ext cx="4463138" cy="557891"/>
        </a:xfrm>
        <a:prstGeom prst="roundRect">
          <a:avLst/>
        </a:prstGeom>
        <a:solidFill>
          <a:schemeClr val="accent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 baseline="0"/>
            <a:t>Wood and Biomass Utilization Facilities</a:t>
          </a:r>
          <a:endParaRPr lang="en-US" sz="2000" b="1"/>
        </a:p>
      </xdr:txBody>
    </xdr:sp>
    <xdr:clientData/>
  </xdr:twoCellAnchor>
  <xdr:twoCellAnchor>
    <xdr:from>
      <xdr:col>2</xdr:col>
      <xdr:colOff>432711</xdr:colOff>
      <xdr:row>190</xdr:row>
      <xdr:rowOff>176894</xdr:rowOff>
    </xdr:from>
    <xdr:to>
      <xdr:col>8</xdr:col>
      <xdr:colOff>283031</xdr:colOff>
      <xdr:row>198</xdr:row>
      <xdr:rowOff>185058</xdr:rowOff>
    </xdr:to>
    <xdr:cxnSp macro="">
      <xdr:nvCxnSpPr>
        <xdr:cNvPr id="282" name="Connector: Elbow 281">
          <a:extLst>
            <a:ext uri="{FF2B5EF4-FFF2-40B4-BE49-F238E27FC236}">
              <a16:creationId xmlns:a16="http://schemas.microsoft.com/office/drawing/2014/main" id="{E48BEDB5-6831-4602-A32D-2F2684ED1E89}"/>
            </a:ext>
          </a:extLst>
        </xdr:cNvPr>
        <xdr:cNvCxnSpPr>
          <a:stCxn id="200" idx="2"/>
          <a:endCxn id="280" idx="0"/>
        </xdr:cNvCxnSpPr>
      </xdr:nvCxnSpPr>
      <xdr:spPr>
        <a:xfrm rot="16200000" flipH="1">
          <a:off x="11783789" y="20715516"/>
          <a:ext cx="1532164" cy="3507920"/>
        </a:xfrm>
        <a:prstGeom prst="bentConnector3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247008</xdr:colOff>
      <xdr:row>190</xdr:row>
      <xdr:rowOff>179612</xdr:rowOff>
    </xdr:from>
    <xdr:to>
      <xdr:col>8</xdr:col>
      <xdr:colOff>283032</xdr:colOff>
      <xdr:row>198</xdr:row>
      <xdr:rowOff>185057</xdr:rowOff>
    </xdr:to>
    <xdr:cxnSp macro="">
      <xdr:nvCxnSpPr>
        <xdr:cNvPr id="283" name="Connector: Elbow 282">
          <a:extLst>
            <a:ext uri="{FF2B5EF4-FFF2-40B4-BE49-F238E27FC236}">
              <a16:creationId xmlns:a16="http://schemas.microsoft.com/office/drawing/2014/main" id="{BF18E2AB-5F64-453C-B711-848B21870DBD}"/>
            </a:ext>
          </a:extLst>
        </xdr:cNvPr>
        <xdr:cNvCxnSpPr>
          <a:stCxn id="225" idx="2"/>
          <a:endCxn id="280" idx="0"/>
        </xdr:cNvCxnSpPr>
      </xdr:nvCxnSpPr>
      <xdr:spPr>
        <a:xfrm rot="16200000" flipH="1">
          <a:off x="12911497" y="21843223"/>
          <a:ext cx="1529445" cy="1255224"/>
        </a:xfrm>
        <a:prstGeom prst="bentConnector3">
          <a:avLst>
            <a:gd name="adj1" fmla="val 50000"/>
          </a:avLst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283031</xdr:colOff>
      <xdr:row>190</xdr:row>
      <xdr:rowOff>176894</xdr:rowOff>
    </xdr:from>
    <xdr:to>
      <xdr:col>10</xdr:col>
      <xdr:colOff>108861</xdr:colOff>
      <xdr:row>198</xdr:row>
      <xdr:rowOff>185058</xdr:rowOff>
    </xdr:to>
    <xdr:cxnSp macro="">
      <xdr:nvCxnSpPr>
        <xdr:cNvPr id="286" name="Connector: Elbow 285">
          <a:extLst>
            <a:ext uri="{FF2B5EF4-FFF2-40B4-BE49-F238E27FC236}">
              <a16:creationId xmlns:a16="http://schemas.microsoft.com/office/drawing/2014/main" id="{90079A4A-AFD8-440C-828F-7DF38D050F3B}"/>
            </a:ext>
          </a:extLst>
        </xdr:cNvPr>
        <xdr:cNvCxnSpPr>
          <a:stCxn id="227" idx="2"/>
          <a:endCxn id="280" idx="0"/>
        </xdr:cNvCxnSpPr>
      </xdr:nvCxnSpPr>
      <xdr:spPr>
        <a:xfrm rot="5400000">
          <a:off x="14060264" y="21946961"/>
          <a:ext cx="1532164" cy="1045030"/>
        </a:xfrm>
        <a:prstGeom prst="bentConnector3">
          <a:avLst>
            <a:gd name="adj1" fmla="val 50000"/>
          </a:avLst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283032</xdr:colOff>
      <xdr:row>191</xdr:row>
      <xdr:rowOff>1</xdr:rowOff>
    </xdr:from>
    <xdr:to>
      <xdr:col>14</xdr:col>
      <xdr:colOff>582389</xdr:colOff>
      <xdr:row>198</xdr:row>
      <xdr:rowOff>185058</xdr:rowOff>
    </xdr:to>
    <xdr:cxnSp macro="">
      <xdr:nvCxnSpPr>
        <xdr:cNvPr id="290" name="Connector: Elbow 289">
          <a:extLst>
            <a:ext uri="{FF2B5EF4-FFF2-40B4-BE49-F238E27FC236}">
              <a16:creationId xmlns:a16="http://schemas.microsoft.com/office/drawing/2014/main" id="{A8288BFA-0510-4C8A-ABDE-F6917271AD6E}"/>
            </a:ext>
          </a:extLst>
        </xdr:cNvPr>
        <xdr:cNvCxnSpPr>
          <a:stCxn id="228" idx="2"/>
          <a:endCxn id="280" idx="0"/>
        </xdr:cNvCxnSpPr>
      </xdr:nvCxnSpPr>
      <xdr:spPr>
        <a:xfrm rot="5400000">
          <a:off x="15523032" y="20497801"/>
          <a:ext cx="1518557" cy="3956957"/>
        </a:xfrm>
        <a:prstGeom prst="bentConnector3">
          <a:avLst>
            <a:gd name="adj1" fmla="val 50000"/>
          </a:avLst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363683</xdr:colOff>
      <xdr:row>66</xdr:row>
      <xdr:rowOff>173183</xdr:rowOff>
    </xdr:from>
    <xdr:to>
      <xdr:col>13</xdr:col>
      <xdr:colOff>497033</xdr:colOff>
      <xdr:row>100</xdr:row>
      <xdr:rowOff>34637</xdr:rowOff>
    </xdr:to>
    <xdr:sp macro="" textlink="">
      <xdr:nvSpPr>
        <xdr:cNvPr id="297" name="Rectangle: Diagonal Corners Snipped 296">
          <a:extLst>
            <a:ext uri="{FF2B5EF4-FFF2-40B4-BE49-F238E27FC236}">
              <a16:creationId xmlns:a16="http://schemas.microsoft.com/office/drawing/2014/main" id="{14540216-D141-40D3-AF4C-AC408DB9402B}"/>
            </a:ext>
          </a:extLst>
        </xdr:cNvPr>
        <xdr:cNvSpPr/>
      </xdr:nvSpPr>
      <xdr:spPr>
        <a:xfrm>
          <a:off x="969819" y="2840183"/>
          <a:ext cx="7406987" cy="6338454"/>
        </a:xfrm>
        <a:prstGeom prst="snip2DiagRect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800" b="1"/>
            <a:t>1. Classify by</a:t>
          </a:r>
          <a:r>
            <a:rPr lang="en-US" sz="1800" b="1" baseline="0"/>
            <a:t> harvesting method (WT,TL, and CTL)</a:t>
          </a:r>
        </a:p>
        <a:p>
          <a:pPr algn="l"/>
          <a:r>
            <a:rPr lang="en-US" sz="1800" b="1" baseline="0"/>
            <a:t>2. Proxy model were used to estimate key variables for regression models</a:t>
          </a:r>
        </a:p>
        <a:p>
          <a:pPr lvl="1" algn="l"/>
          <a:r>
            <a:rPr lang="en-US" sz="1800" b="1" baseline="0"/>
            <a:t>Felling </a:t>
          </a:r>
        </a:p>
        <a:p>
          <a:pPr lvl="1" algn="l"/>
          <a:r>
            <a:rPr lang="en-US" sz="1800" b="1" baseline="0"/>
            <a:t>	    (distance to tree &lt;- </a:t>
          </a:r>
          <a:r>
            <a:rPr lang="en-US" sz="1800" b="1" baseline="0">
              <a:solidFill>
                <a:sysClr val="windowText" lastClr="000000"/>
              </a:solidFill>
            </a:rPr>
            <a:t>thinning intensity(TPA)</a:t>
          </a:r>
          <a:r>
            <a:rPr lang="en-US" sz="1800" b="1" baseline="0"/>
            <a:t>)</a:t>
          </a:r>
        </a:p>
        <a:p>
          <a:pPr lvl="1" algn="l"/>
          <a:r>
            <a:rPr lang="en-US" sz="1800" b="1" baseline="0"/>
            <a:t>	    (# of trees or logs/turn &lt;- </a:t>
          </a:r>
          <a:r>
            <a:rPr lang="en-US" sz="1800" b="1" baseline="0">
              <a:solidFill>
                <a:sysClr val="windowText" lastClr="000000"/>
              </a:solidFill>
            </a:rPr>
            <a:t>DBH</a:t>
          </a:r>
          <a:r>
            <a:rPr lang="en-US" sz="1800" b="1" baseline="0"/>
            <a:t>)</a:t>
          </a:r>
        </a:p>
        <a:p>
          <a:pPr lvl="1" algn="l"/>
          <a:r>
            <a:rPr lang="en-US" sz="1800" b="1" baseline="0"/>
            <a:t>             (# of logs/tree(CTL) &lt;- </a:t>
          </a:r>
          <a:r>
            <a:rPr lang="en-US" sz="1800" b="1" baseline="0">
              <a:solidFill>
                <a:sysClr val="windowText" lastClr="000000"/>
              </a:solidFill>
            </a:rPr>
            <a:t>DBH</a:t>
          </a:r>
          <a:r>
            <a:rPr lang="en-US" sz="1800" b="1" baseline="0"/>
            <a:t>)</a:t>
          </a:r>
        </a:p>
        <a:p>
          <a:pPr lvl="1" algn="l"/>
          <a:r>
            <a:rPr lang="en-US" sz="1800" b="1" baseline="0"/>
            <a:t>Extraction </a:t>
          </a:r>
        </a:p>
        <a:p>
          <a:pPr lvl="1" algn="l"/>
          <a:r>
            <a:rPr lang="en-US" sz="1800" b="1" baseline="0"/>
            <a:t>             (# of trees or logs / turn 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&lt;</a:t>
          </a:r>
          <a:r>
            <a:rPr lang="en-US" sz="1800" b="1" baseline="0"/>
            <a:t>- </a:t>
          </a:r>
          <a:r>
            <a:rPr lang="en-US" sz="1800" b="1" baseline="0">
              <a:solidFill>
                <a:sysClr val="windowText" lastClr="000000"/>
              </a:solidFill>
            </a:rPr>
            <a:t>DBH</a:t>
          </a:r>
          <a:r>
            <a:rPr lang="en-US" sz="1800" b="1" baseline="0"/>
            <a:t>)</a:t>
          </a:r>
        </a:p>
        <a:p>
          <a:pPr lvl="1" algn="l"/>
          <a:r>
            <a:rPr lang="en-US" sz="1800" b="1" baseline="0"/>
            <a:t>Processing </a:t>
          </a:r>
        </a:p>
        <a:p>
          <a:pPr lvl="1" algn="l"/>
          <a:r>
            <a:rPr lang="en-US" sz="1800" b="1" baseline="0"/>
            <a:t>	    (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# of logs/tree(WT)&lt;</a:t>
          </a:r>
          <a:r>
            <a:rPr lang="en-US" sz="1800" b="1" baseline="0"/>
            <a:t>- </a:t>
          </a:r>
          <a:r>
            <a:rPr lang="en-US" sz="1800" b="1" baseline="0">
              <a:solidFill>
                <a:sysClr val="windowText" lastClr="000000"/>
              </a:solidFill>
            </a:rPr>
            <a:t>DBH</a:t>
          </a:r>
          <a:r>
            <a:rPr lang="en-US" sz="1800" b="1" baseline="0"/>
            <a:t>)</a:t>
          </a:r>
        </a:p>
        <a:p>
          <a:pPr lvl="1" algn="l"/>
          <a:r>
            <a:rPr lang="en-US" sz="1800" b="1" baseline="0"/>
            <a:t>Loading </a:t>
          </a:r>
        </a:p>
        <a:p>
          <a:pPr lvl="1" algn="l"/>
          <a:r>
            <a:rPr lang="en-US" sz="1800" b="1" baseline="0"/>
            <a:t>	    (# of logs/turn (Logs) &lt;- </a:t>
          </a:r>
          <a:r>
            <a:rPr lang="en-US" sz="1800" b="1" baseline="0">
              <a:solidFill>
                <a:sysClr val="windowText" lastClr="000000"/>
              </a:solidFill>
            </a:rPr>
            <a:t>DBH</a:t>
          </a:r>
          <a:r>
            <a:rPr lang="en-US" sz="1800" b="1" baseline="0"/>
            <a:t>)</a:t>
          </a:r>
        </a:p>
        <a:p>
          <a:pPr lvl="1" algn="l"/>
          <a:r>
            <a:rPr lang="en-US" sz="1800" b="1" baseline="0"/>
            <a:t>	    (tons/PMH (Biomass) &lt;- </a:t>
          </a:r>
          <a:r>
            <a:rPr lang="en-US" sz="1800" b="1" baseline="0">
              <a:solidFill>
                <a:sysClr val="windowText" lastClr="000000"/>
              </a:solidFill>
            </a:rPr>
            <a:t>DBH</a:t>
          </a:r>
          <a:r>
            <a:rPr lang="en-US" sz="1800" b="1" baseline="0"/>
            <a:t>)</a:t>
          </a:r>
        </a:p>
        <a:p>
          <a:pPr lvl="1" algn="l"/>
          <a:endParaRPr lang="en-US" sz="1800" b="1" baseline="0"/>
        </a:p>
        <a:p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3. Default values for minor variables used in regression models</a:t>
          </a:r>
          <a:endParaRPr lang="en-US" sz="1800" b="1">
            <a:effectLst/>
          </a:endParaRPr>
        </a:p>
        <a:p>
          <a:pPr lvl="1" algn="l"/>
          <a:r>
            <a:rPr lang="en-US" sz="1800" b="1" baseline="0"/>
            <a:t>- Using information from input</a:t>
          </a:r>
        </a:p>
        <a:p>
          <a:pPr lvl="1" algn="l"/>
          <a:r>
            <a:rPr lang="en-US" sz="1800" b="1" baseline="0"/>
            <a:t>- Using average value from literature review</a:t>
          </a:r>
          <a:endParaRPr lang="en-US" sz="1800" b="1"/>
        </a:p>
      </xdr:txBody>
    </xdr:sp>
    <xdr:clientData/>
  </xdr:twoCellAnchor>
  <xdr:twoCellAnchor>
    <xdr:from>
      <xdr:col>32</xdr:col>
      <xdr:colOff>154561</xdr:colOff>
      <xdr:row>59</xdr:row>
      <xdr:rowOff>138546</xdr:rowOff>
    </xdr:from>
    <xdr:to>
      <xdr:col>40</xdr:col>
      <xdr:colOff>173180</xdr:colOff>
      <xdr:row>80</xdr:row>
      <xdr:rowOff>69273</xdr:rowOff>
    </xdr:to>
    <xdr:sp macro="" textlink="">
      <xdr:nvSpPr>
        <xdr:cNvPr id="325" name="Rectangle: Diagonal Corners Snipped 324">
          <a:extLst>
            <a:ext uri="{FF2B5EF4-FFF2-40B4-BE49-F238E27FC236}">
              <a16:creationId xmlns:a16="http://schemas.microsoft.com/office/drawing/2014/main" id="{771FEDA0-429A-49EC-A097-90D1E8C990AF}"/>
            </a:ext>
          </a:extLst>
        </xdr:cNvPr>
        <xdr:cNvSpPr/>
      </xdr:nvSpPr>
      <xdr:spPr>
        <a:xfrm>
          <a:off x="19550925" y="1472046"/>
          <a:ext cx="4867710" cy="3931227"/>
        </a:xfrm>
        <a:prstGeom prst="snip2DiagRect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 Stand information</a:t>
          </a:r>
          <a:endParaRPr lang="en-US" sz="2800" b="1">
            <a:effectLst/>
          </a:endParaRPr>
        </a:p>
        <a:p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 Harvesting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system</a:t>
          </a:r>
          <a:endParaRPr lang="en-US" sz="2800" b="1">
            <a:effectLst/>
          </a:endParaRPr>
        </a:p>
        <a:p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 Harvesting method</a:t>
          </a:r>
          <a:endParaRPr lang="en-US" sz="2800" b="1">
            <a:effectLst/>
          </a:endParaRPr>
        </a:p>
        <a:p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 Operation variables</a:t>
          </a:r>
        </a:p>
        <a:p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 Optional updates </a:t>
          </a:r>
        </a:p>
        <a:p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      Machine rate </a:t>
          </a:r>
        </a:p>
        <a:p>
          <a:pPr lvl="1"/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Machine price</a:t>
          </a:r>
        </a:p>
        <a:p>
          <a:pPr lvl="1"/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Gas price</a:t>
          </a:r>
        </a:p>
        <a:p>
          <a:pPr lvl="1"/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Worker wages</a:t>
          </a:r>
        </a:p>
        <a:p>
          <a:pPr lvl="1"/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Moisture content</a:t>
          </a:r>
        </a:p>
        <a:p>
          <a:pPr lvl="1"/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Other variables in regression models</a:t>
          </a:r>
        </a:p>
      </xdr:txBody>
    </xdr:sp>
    <xdr:clientData/>
  </xdr:twoCellAnchor>
  <xdr:twoCellAnchor>
    <xdr:from>
      <xdr:col>21</xdr:col>
      <xdr:colOff>171633</xdr:colOff>
      <xdr:row>71</xdr:row>
      <xdr:rowOff>140620</xdr:rowOff>
    </xdr:from>
    <xdr:to>
      <xdr:col>27</xdr:col>
      <xdr:colOff>484831</xdr:colOff>
      <xdr:row>86</xdr:row>
      <xdr:rowOff>23813</xdr:rowOff>
    </xdr:to>
    <xdr:cxnSp macro="">
      <xdr:nvCxnSpPr>
        <xdr:cNvPr id="334" name="Connector: Elbow 333">
          <a:extLst>
            <a:ext uri="{FF2B5EF4-FFF2-40B4-BE49-F238E27FC236}">
              <a16:creationId xmlns:a16="http://schemas.microsoft.com/office/drawing/2014/main" id="{FD34D6DC-1776-41E4-9C2D-DF482594D378}"/>
            </a:ext>
          </a:extLst>
        </xdr:cNvPr>
        <xdr:cNvCxnSpPr>
          <a:stCxn id="84" idx="1"/>
          <a:endCxn id="98" idx="3"/>
        </xdr:cNvCxnSpPr>
      </xdr:nvCxnSpPr>
      <xdr:spPr>
        <a:xfrm rot="10800000" flipV="1">
          <a:off x="12900497" y="3760120"/>
          <a:ext cx="3950016" cy="2740693"/>
        </a:xfrm>
        <a:prstGeom prst="bentConnector3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</xdr:col>
      <xdr:colOff>242206</xdr:colOff>
      <xdr:row>175</xdr:row>
      <xdr:rowOff>19050</xdr:rowOff>
    </xdr:from>
    <xdr:ext cx="874342" cy="342786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49E237A7-83FB-4C50-9287-130304018A87}"/>
            </a:ext>
          </a:extLst>
        </xdr:cNvPr>
        <xdr:cNvSpPr txBox="1"/>
      </xdr:nvSpPr>
      <xdr:spPr>
        <a:xfrm>
          <a:off x="13043806" y="18688050"/>
          <a:ext cx="874342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/>
            <a:t>Biomass</a:t>
          </a:r>
        </a:p>
      </xdr:txBody>
    </xdr:sp>
    <xdr:clientData/>
  </xdr:oneCellAnchor>
  <xdr:twoCellAnchor>
    <xdr:from>
      <xdr:col>30</xdr:col>
      <xdr:colOff>86485</xdr:colOff>
      <xdr:row>213</xdr:row>
      <xdr:rowOff>90486</xdr:rowOff>
    </xdr:from>
    <xdr:to>
      <xdr:col>33</xdr:col>
      <xdr:colOff>280989</xdr:colOff>
      <xdr:row>215</xdr:row>
      <xdr:rowOff>71438</xdr:rowOff>
    </xdr:to>
    <xdr:sp macro="" textlink="">
      <xdr:nvSpPr>
        <xdr:cNvPr id="183" name="Rectangle: Rounded Corners 182">
          <a:extLst>
            <a:ext uri="{FF2B5EF4-FFF2-40B4-BE49-F238E27FC236}">
              <a16:creationId xmlns:a16="http://schemas.microsoft.com/office/drawing/2014/main" id="{FB0F4B1D-49C9-4945-BBD8-792B177A48B8}"/>
            </a:ext>
          </a:extLst>
        </xdr:cNvPr>
        <xdr:cNvSpPr/>
      </xdr:nvSpPr>
      <xdr:spPr>
        <a:xfrm>
          <a:off x="27947110" y="25998486"/>
          <a:ext cx="2051879" cy="361952"/>
        </a:xfrm>
        <a:prstGeom prst="roundRect">
          <a:avLst/>
        </a:prstGeom>
        <a:solidFill>
          <a:schemeClr val="accent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/>
            <a:t>Chip</a:t>
          </a:r>
          <a:r>
            <a:rPr lang="en-US" sz="2000" b="1" baseline="0"/>
            <a:t> Van</a:t>
          </a:r>
          <a:endParaRPr lang="en-US" sz="2000" b="1"/>
        </a:p>
      </xdr:txBody>
    </xdr:sp>
    <xdr:clientData/>
  </xdr:twoCellAnchor>
  <xdr:twoCellAnchor>
    <xdr:from>
      <xdr:col>20</xdr:col>
      <xdr:colOff>560677</xdr:colOff>
      <xdr:row>203</xdr:row>
      <xdr:rowOff>167553</xdr:rowOff>
    </xdr:from>
    <xdr:to>
      <xdr:col>34</xdr:col>
      <xdr:colOff>104218</xdr:colOff>
      <xdr:row>217</xdr:row>
      <xdr:rowOff>50532</xdr:rowOff>
    </xdr:to>
    <xdr:sp macro="" textlink="">
      <xdr:nvSpPr>
        <xdr:cNvPr id="187" name="Rectangle: Rounded Corners 186">
          <a:extLst>
            <a:ext uri="{FF2B5EF4-FFF2-40B4-BE49-F238E27FC236}">
              <a16:creationId xmlns:a16="http://schemas.microsoft.com/office/drawing/2014/main" id="{E04F2865-2E97-43B0-80FC-3A736D696364}"/>
            </a:ext>
          </a:extLst>
        </xdr:cNvPr>
        <xdr:cNvSpPr/>
      </xdr:nvSpPr>
      <xdr:spPr>
        <a:xfrm>
          <a:off x="12683404" y="28933053"/>
          <a:ext cx="8029450" cy="2549979"/>
        </a:xfrm>
        <a:prstGeom prst="roundRect">
          <a:avLst/>
        </a:prstGeom>
        <a:solidFill>
          <a:schemeClr val="accent1">
            <a:lumMod val="75000"/>
            <a:alpha val="1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2000" b="1" baseline="0">
              <a:solidFill>
                <a:sysClr val="windowText" lastClr="000000"/>
              </a:solidFill>
            </a:rPr>
            <a:t>Transportation</a:t>
          </a:r>
          <a:endParaRPr lang="en-US" sz="20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21</xdr:col>
      <xdr:colOff>332695</xdr:colOff>
      <xdr:row>208</xdr:row>
      <xdr:rowOff>67738</xdr:rowOff>
    </xdr:from>
    <xdr:to>
      <xdr:col>24</xdr:col>
      <xdr:colOff>400730</xdr:colOff>
      <xdr:row>212</xdr:row>
      <xdr:rowOff>64636</xdr:rowOff>
    </xdr:to>
    <xdr:sp macro="" textlink="">
      <xdr:nvSpPr>
        <xdr:cNvPr id="189" name="Speech Bubble: Rectangle with Corners Rounded 188">
          <a:extLst>
            <a:ext uri="{FF2B5EF4-FFF2-40B4-BE49-F238E27FC236}">
              <a16:creationId xmlns:a16="http://schemas.microsoft.com/office/drawing/2014/main" id="{DA3386D5-B09A-43CA-90F4-49A0F29EA9CF}"/>
            </a:ext>
          </a:extLst>
        </xdr:cNvPr>
        <xdr:cNvSpPr/>
      </xdr:nvSpPr>
      <xdr:spPr>
        <a:xfrm>
          <a:off x="22621195" y="25023238"/>
          <a:ext cx="1925410" cy="758898"/>
        </a:xfrm>
        <a:prstGeom prst="wedgeRoundRectCallout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aseline="0"/>
            <a:t>Produce Biomass</a:t>
          </a:r>
        </a:p>
        <a:p>
          <a:pPr algn="l"/>
          <a:endParaRPr lang="en-US" sz="1100" baseline="0"/>
        </a:p>
        <a:p>
          <a:pPr algn="l"/>
          <a:endParaRPr lang="en-US" sz="1100"/>
        </a:p>
      </xdr:txBody>
    </xdr:sp>
    <xdr:clientData/>
  </xdr:twoCellAnchor>
  <xdr:twoCellAnchor>
    <xdr:from>
      <xdr:col>26</xdr:col>
      <xdr:colOff>63272</xdr:colOff>
      <xdr:row>208</xdr:row>
      <xdr:rowOff>3403</xdr:rowOff>
    </xdr:from>
    <xdr:to>
      <xdr:col>29</xdr:col>
      <xdr:colOff>357187</xdr:colOff>
      <xdr:row>211</xdr:row>
      <xdr:rowOff>183017</xdr:rowOff>
    </xdr:to>
    <xdr:sp macro="" textlink="">
      <xdr:nvSpPr>
        <xdr:cNvPr id="190" name="Speech Bubble: Rectangle with Corners Rounded 189">
          <a:extLst>
            <a:ext uri="{FF2B5EF4-FFF2-40B4-BE49-F238E27FC236}">
              <a16:creationId xmlns:a16="http://schemas.microsoft.com/office/drawing/2014/main" id="{8482BF2C-FEA7-4191-B5BD-DC43A20A7393}"/>
            </a:ext>
          </a:extLst>
        </xdr:cNvPr>
        <xdr:cNvSpPr/>
      </xdr:nvSpPr>
      <xdr:spPr>
        <a:xfrm>
          <a:off x="25447397" y="24958903"/>
          <a:ext cx="2151290" cy="751114"/>
        </a:xfrm>
        <a:prstGeom prst="wedgeRoundRectCallout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aseline="0"/>
            <a:t>Produce Logs or sawlogs</a:t>
          </a:r>
        </a:p>
        <a:p>
          <a:pPr algn="l"/>
          <a:endParaRPr lang="en-US" sz="1100"/>
        </a:p>
      </xdr:txBody>
    </xdr:sp>
    <xdr:clientData/>
  </xdr:twoCellAnchor>
  <xdr:twoCellAnchor>
    <xdr:from>
      <xdr:col>26</xdr:col>
      <xdr:colOff>114984</xdr:colOff>
      <xdr:row>213</xdr:row>
      <xdr:rowOff>74162</xdr:rowOff>
    </xdr:from>
    <xdr:to>
      <xdr:col>29</xdr:col>
      <xdr:colOff>155804</xdr:colOff>
      <xdr:row>215</xdr:row>
      <xdr:rowOff>79604</xdr:rowOff>
    </xdr:to>
    <xdr:sp macro="" textlink="">
      <xdr:nvSpPr>
        <xdr:cNvPr id="192" name="Rectangle: Rounded Corners 191">
          <a:extLst>
            <a:ext uri="{FF2B5EF4-FFF2-40B4-BE49-F238E27FC236}">
              <a16:creationId xmlns:a16="http://schemas.microsoft.com/office/drawing/2014/main" id="{2F52CAFC-FB93-45F7-B462-4E371C04C0E1}"/>
            </a:ext>
          </a:extLst>
        </xdr:cNvPr>
        <xdr:cNvSpPr/>
      </xdr:nvSpPr>
      <xdr:spPr>
        <a:xfrm>
          <a:off x="25499109" y="25982162"/>
          <a:ext cx="1898195" cy="386442"/>
        </a:xfrm>
        <a:prstGeom prst="roundRect">
          <a:avLst/>
        </a:prstGeom>
        <a:solidFill>
          <a:schemeClr val="accent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 baseline="0"/>
            <a:t>Short Log Truck</a:t>
          </a:r>
          <a:endParaRPr lang="en-US" sz="2000" b="1"/>
        </a:p>
      </xdr:txBody>
    </xdr:sp>
    <xdr:clientData/>
  </xdr:twoCellAnchor>
  <xdr:twoCellAnchor>
    <xdr:from>
      <xdr:col>21</xdr:col>
      <xdr:colOff>391284</xdr:colOff>
      <xdr:row>213</xdr:row>
      <xdr:rowOff>100011</xdr:rowOff>
    </xdr:from>
    <xdr:to>
      <xdr:col>24</xdr:col>
      <xdr:colOff>432104</xdr:colOff>
      <xdr:row>215</xdr:row>
      <xdr:rowOff>105453</xdr:rowOff>
    </xdr:to>
    <xdr:sp macro="" textlink="">
      <xdr:nvSpPr>
        <xdr:cNvPr id="193" name="Rectangle: Rounded Corners 192">
          <a:extLst>
            <a:ext uri="{FF2B5EF4-FFF2-40B4-BE49-F238E27FC236}">
              <a16:creationId xmlns:a16="http://schemas.microsoft.com/office/drawing/2014/main" id="{BAE28616-FB68-4DCB-B3A6-61CDDD542D30}"/>
            </a:ext>
          </a:extLst>
        </xdr:cNvPr>
        <xdr:cNvSpPr/>
      </xdr:nvSpPr>
      <xdr:spPr>
        <a:xfrm>
          <a:off x="22679784" y="26008011"/>
          <a:ext cx="1898195" cy="386442"/>
        </a:xfrm>
        <a:prstGeom prst="roundRect">
          <a:avLst/>
        </a:prstGeom>
        <a:solidFill>
          <a:schemeClr val="accent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 baseline="0"/>
            <a:t>Long Log Truck</a:t>
          </a:r>
          <a:endParaRPr lang="en-US" sz="2000" b="1"/>
        </a:p>
      </xdr:txBody>
    </xdr:sp>
    <xdr:clientData/>
  </xdr:twoCellAnchor>
  <xdr:twoCellAnchor>
    <xdr:from>
      <xdr:col>18</xdr:col>
      <xdr:colOff>285707</xdr:colOff>
      <xdr:row>73</xdr:row>
      <xdr:rowOff>90735</xdr:rowOff>
    </xdr:from>
    <xdr:to>
      <xdr:col>18</xdr:col>
      <xdr:colOff>288657</xdr:colOff>
      <xdr:row>83</xdr:row>
      <xdr:rowOff>173180</xdr:rowOff>
    </xdr:to>
    <xdr:cxnSp macro="">
      <xdr:nvCxnSpPr>
        <xdr:cNvPr id="19" name="Connector: Elbow 18">
          <a:extLst>
            <a:ext uri="{FF2B5EF4-FFF2-40B4-BE49-F238E27FC236}">
              <a16:creationId xmlns:a16="http://schemas.microsoft.com/office/drawing/2014/main" id="{9375A5D7-3B9A-4785-8F92-BED051738AA8}"/>
            </a:ext>
          </a:extLst>
        </xdr:cNvPr>
        <xdr:cNvCxnSpPr>
          <a:stCxn id="174" idx="2"/>
          <a:endCxn id="98" idx="0"/>
        </xdr:cNvCxnSpPr>
      </xdr:nvCxnSpPr>
      <xdr:spPr>
        <a:xfrm rot="16200000" flipH="1">
          <a:off x="10203914" y="5083483"/>
          <a:ext cx="1987445" cy="2950"/>
        </a:xfrm>
        <a:prstGeom prst="bentConnector3">
          <a:avLst>
            <a:gd name="adj1" fmla="val 50000"/>
          </a:avLst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25</xdr:col>
      <xdr:colOff>119063</xdr:colOff>
      <xdr:row>145</xdr:row>
      <xdr:rowOff>138113</xdr:rowOff>
    </xdr:from>
    <xdr:ext cx="2688813" cy="530658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AEF7D765-0AAE-407B-B119-2B1117C6F897}"/>
            </a:ext>
          </a:extLst>
        </xdr:cNvPr>
        <xdr:cNvSpPr txBox="1"/>
      </xdr:nvSpPr>
      <xdr:spPr>
        <a:xfrm>
          <a:off x="24884063" y="13092113"/>
          <a:ext cx="2688813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800" b="1"/>
            <a:t>Machine options</a:t>
          </a:r>
        </a:p>
      </xdr:txBody>
    </xdr:sp>
    <xdr:clientData/>
  </xdr:oneCellAnchor>
  <xdr:twoCellAnchor>
    <xdr:from>
      <xdr:col>16</xdr:col>
      <xdr:colOff>121144</xdr:colOff>
      <xdr:row>70</xdr:row>
      <xdr:rowOff>69272</xdr:rowOff>
    </xdr:from>
    <xdr:to>
      <xdr:col>20</xdr:col>
      <xdr:colOff>450268</xdr:colOff>
      <xdr:row>73</xdr:row>
      <xdr:rowOff>90736</xdr:rowOff>
    </xdr:to>
    <xdr:sp macro="" textlink="">
      <xdr:nvSpPr>
        <xdr:cNvPr id="174" name="Rectangle: Rounded Corners 173">
          <a:extLst>
            <a:ext uri="{FF2B5EF4-FFF2-40B4-BE49-F238E27FC236}">
              <a16:creationId xmlns:a16="http://schemas.microsoft.com/office/drawing/2014/main" id="{77F98000-CB87-405E-BA47-E37405EEE937}"/>
            </a:ext>
          </a:extLst>
        </xdr:cNvPr>
        <xdr:cNvSpPr/>
      </xdr:nvSpPr>
      <xdr:spPr>
        <a:xfrm>
          <a:off x="9819326" y="3498272"/>
          <a:ext cx="2753669" cy="592964"/>
        </a:xfrm>
        <a:prstGeom prst="roundRect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>
              <a:solidFill>
                <a:sysClr val="windowText" lastClr="000000"/>
              </a:solidFill>
            </a:rPr>
            <a:t>Literature review</a:t>
          </a:r>
        </a:p>
      </xdr:txBody>
    </xdr:sp>
    <xdr:clientData/>
  </xdr:twoCellAnchor>
  <xdr:twoCellAnchor>
    <xdr:from>
      <xdr:col>29</xdr:col>
      <xdr:colOff>28373</xdr:colOff>
      <xdr:row>73</xdr:row>
      <xdr:rowOff>73422</xdr:rowOff>
    </xdr:from>
    <xdr:to>
      <xdr:col>29</xdr:col>
      <xdr:colOff>31360</xdr:colOff>
      <xdr:row>83</xdr:row>
      <xdr:rowOff>169713</xdr:rowOff>
    </xdr:to>
    <xdr:cxnSp macro="">
      <xdr:nvCxnSpPr>
        <xdr:cNvPr id="188" name="Connector: Elbow 187">
          <a:extLst>
            <a:ext uri="{FF2B5EF4-FFF2-40B4-BE49-F238E27FC236}">
              <a16:creationId xmlns:a16="http://schemas.microsoft.com/office/drawing/2014/main" id="{361E5B6D-3274-4F91-B62A-52876AE86B33}"/>
            </a:ext>
          </a:extLst>
        </xdr:cNvPr>
        <xdr:cNvCxnSpPr>
          <a:stCxn id="84" idx="2"/>
          <a:endCxn id="88" idx="0"/>
        </xdr:cNvCxnSpPr>
      </xdr:nvCxnSpPr>
      <xdr:spPr>
        <a:xfrm rot="16200000" flipH="1">
          <a:off x="16607176" y="5073074"/>
          <a:ext cx="2001291" cy="2987"/>
        </a:xfrm>
        <a:prstGeom prst="bentConnector3">
          <a:avLst>
            <a:gd name="adj1" fmla="val 50000"/>
          </a:avLst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171633</xdr:colOff>
      <xdr:row>86</xdr:row>
      <xdr:rowOff>15584</xdr:rowOff>
    </xdr:from>
    <xdr:to>
      <xdr:col>26</xdr:col>
      <xdr:colOff>196007</xdr:colOff>
      <xdr:row>86</xdr:row>
      <xdr:rowOff>23814</xdr:rowOff>
    </xdr:to>
    <xdr:cxnSp macro="">
      <xdr:nvCxnSpPr>
        <xdr:cNvPr id="107" name="Straight Arrow Connector 106">
          <a:extLst>
            <a:ext uri="{FF2B5EF4-FFF2-40B4-BE49-F238E27FC236}">
              <a16:creationId xmlns:a16="http://schemas.microsoft.com/office/drawing/2014/main" id="{8C248CAE-81F5-48A3-929F-5CD3DFD6D321}"/>
            </a:ext>
          </a:extLst>
        </xdr:cNvPr>
        <xdr:cNvCxnSpPr>
          <a:stCxn id="88" idx="1"/>
          <a:endCxn id="98" idx="3"/>
        </xdr:cNvCxnSpPr>
      </xdr:nvCxnSpPr>
      <xdr:spPr>
        <a:xfrm flipH="1">
          <a:off x="12900497" y="6492584"/>
          <a:ext cx="3055055" cy="823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28637</xdr:colOff>
      <xdr:row>88</xdr:row>
      <xdr:rowOff>51954</xdr:rowOff>
    </xdr:from>
    <xdr:to>
      <xdr:col>29</xdr:col>
      <xdr:colOff>31360</xdr:colOff>
      <xdr:row>100</xdr:row>
      <xdr:rowOff>129886</xdr:rowOff>
    </xdr:to>
    <xdr:cxnSp macro="">
      <xdr:nvCxnSpPr>
        <xdr:cNvPr id="210" name="Straight Arrow Connector 209">
          <a:extLst>
            <a:ext uri="{FF2B5EF4-FFF2-40B4-BE49-F238E27FC236}">
              <a16:creationId xmlns:a16="http://schemas.microsoft.com/office/drawing/2014/main" id="{0DC039CA-41C2-44FF-8BCD-7F181250AEE9}"/>
            </a:ext>
          </a:extLst>
        </xdr:cNvPr>
        <xdr:cNvCxnSpPr>
          <a:stCxn id="88" idx="2"/>
          <a:endCxn id="86" idx="0"/>
        </xdr:cNvCxnSpPr>
      </xdr:nvCxnSpPr>
      <xdr:spPr>
        <a:xfrm flipH="1">
          <a:off x="17606592" y="6909954"/>
          <a:ext cx="2723" cy="2363932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77931</xdr:colOff>
      <xdr:row>85</xdr:row>
      <xdr:rowOff>43298</xdr:rowOff>
    </xdr:from>
    <xdr:to>
      <xdr:col>15</xdr:col>
      <xdr:colOff>173181</xdr:colOff>
      <xdr:row>87</xdr:row>
      <xdr:rowOff>17319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45A9B181-4168-44C6-B157-DF483D589510}"/>
            </a:ext>
          </a:extLst>
        </xdr:cNvPr>
        <xdr:cNvSpPr/>
      </xdr:nvSpPr>
      <xdr:spPr>
        <a:xfrm rot="16200000">
          <a:off x="8737022" y="6156616"/>
          <a:ext cx="355021" cy="701386"/>
        </a:xfrm>
        <a:prstGeom prst="downArrow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403513</xdr:colOff>
      <xdr:row>70</xdr:row>
      <xdr:rowOff>91790</xdr:rowOff>
    </xdr:from>
    <xdr:to>
      <xdr:col>31</xdr:col>
      <xdr:colOff>498763</xdr:colOff>
      <xdr:row>72</xdr:row>
      <xdr:rowOff>65811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309FF332-FE4B-4CF2-BE8E-9186C13BC551}"/>
            </a:ext>
          </a:extLst>
        </xdr:cNvPr>
        <xdr:cNvSpPr/>
      </xdr:nvSpPr>
      <xdr:spPr>
        <a:xfrm rot="5400000">
          <a:off x="18760786" y="3347608"/>
          <a:ext cx="355021" cy="701386"/>
        </a:xfrm>
        <a:prstGeom prst="downArrow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218395</xdr:colOff>
      <xdr:row>208</xdr:row>
      <xdr:rowOff>1063</xdr:rowOff>
    </xdr:from>
    <xdr:to>
      <xdr:col>33</xdr:col>
      <xdr:colOff>286430</xdr:colOff>
      <xdr:row>211</xdr:row>
      <xdr:rowOff>188461</xdr:rowOff>
    </xdr:to>
    <xdr:sp macro="" textlink="">
      <xdr:nvSpPr>
        <xdr:cNvPr id="184" name="Speech Bubble: Rectangle with Corners Rounded 183">
          <a:extLst>
            <a:ext uri="{FF2B5EF4-FFF2-40B4-BE49-F238E27FC236}">
              <a16:creationId xmlns:a16="http://schemas.microsoft.com/office/drawing/2014/main" id="{6D523672-9C81-4838-8FC0-5A5D63B51A58}"/>
            </a:ext>
          </a:extLst>
        </xdr:cNvPr>
        <xdr:cNvSpPr/>
      </xdr:nvSpPr>
      <xdr:spPr>
        <a:xfrm>
          <a:off x="28079020" y="24956563"/>
          <a:ext cx="1925410" cy="758898"/>
        </a:xfrm>
        <a:prstGeom prst="wedgeRoundRectCallout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aseline="0"/>
            <a:t>Produce Biomass</a:t>
          </a:r>
        </a:p>
        <a:p>
          <a:pPr algn="l"/>
          <a:endParaRPr lang="en-US" sz="1100" baseline="0"/>
        </a:p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374073</xdr:colOff>
      <xdr:row>21</xdr:row>
      <xdr:rowOff>96981</xdr:rowOff>
    </xdr:from>
    <xdr:to>
      <xdr:col>14</xdr:col>
      <xdr:colOff>858982</xdr:colOff>
      <xdr:row>37</xdr:row>
      <xdr:rowOff>0</xdr:rowOff>
    </xdr:to>
    <xdr:sp macro="" textlink="">
      <xdr:nvSpPr>
        <xdr:cNvPr id="4" name="화살표: 오른쪽으로 구부러짐 3">
          <a:extLst>
            <a:ext uri="{FF2B5EF4-FFF2-40B4-BE49-F238E27FC236}">
              <a16:creationId xmlns:a16="http://schemas.microsoft.com/office/drawing/2014/main" id="{176CFF4B-5191-F95B-7E25-9BE7DB22935C}"/>
            </a:ext>
          </a:extLst>
        </xdr:cNvPr>
        <xdr:cNvSpPr/>
      </xdr:nvSpPr>
      <xdr:spPr>
        <a:xfrm>
          <a:off x="26822400" y="5320145"/>
          <a:ext cx="484909" cy="3020291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22</xdr:col>
      <xdr:colOff>83128</xdr:colOff>
      <xdr:row>27</xdr:row>
      <xdr:rowOff>124691</xdr:rowOff>
    </xdr:from>
    <xdr:to>
      <xdr:col>23</xdr:col>
      <xdr:colOff>387927</xdr:colOff>
      <xdr:row>35</xdr:row>
      <xdr:rowOff>138546</xdr:rowOff>
    </xdr:to>
    <xdr:sp macro="" textlink="">
      <xdr:nvSpPr>
        <xdr:cNvPr id="6" name="화살표: 왼쪽으로 구부러짐 5">
          <a:extLst>
            <a:ext uri="{FF2B5EF4-FFF2-40B4-BE49-F238E27FC236}">
              <a16:creationId xmlns:a16="http://schemas.microsoft.com/office/drawing/2014/main" id="{2EEF8292-BE1C-5457-8730-800ACB767BCF}"/>
            </a:ext>
          </a:extLst>
        </xdr:cNvPr>
        <xdr:cNvSpPr/>
      </xdr:nvSpPr>
      <xdr:spPr>
        <a:xfrm>
          <a:off x="33846655" y="6622473"/>
          <a:ext cx="928254" cy="1496291"/>
        </a:xfrm>
        <a:prstGeom prst="curved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40</xdr:row>
      <xdr:rowOff>0</xdr:rowOff>
    </xdr:from>
    <xdr:to>
      <xdr:col>17</xdr:col>
      <xdr:colOff>304800</xdr:colOff>
      <xdr:row>54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00BB24F-86D8-45FE-A6ED-000CFB5C22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76200</xdr:colOff>
      <xdr:row>39</xdr:row>
      <xdr:rowOff>33337</xdr:rowOff>
    </xdr:from>
    <xdr:to>
      <xdr:col>27</xdr:col>
      <xdr:colOff>381000</xdr:colOff>
      <xdr:row>53</xdr:row>
      <xdr:rowOff>109537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36778B3-CAD1-464E-9639-B3B5B799E4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nathaniel.m.anderson@usda.gov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mailto:Han-Sup.Han@nau.edu" TargetMode="External"/><Relationship Id="rId1" Type="http://schemas.openxmlformats.org/officeDocument/2006/relationships/hyperlink" Target="mailto:Heesol.Chang@nau.edu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john.s.hogland@usda.gov" TargetMode="External"/><Relationship Id="rId4" Type="http://schemas.openxmlformats.org/officeDocument/2006/relationships/hyperlink" Target="mailto:Jeffrey.Halbrook@usda.gov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95F96-4D27-4E5C-8877-97C485BF1D8C}">
  <sheetPr>
    <tabColor rgb="FF92D050"/>
  </sheetPr>
  <dimension ref="B1:AL88"/>
  <sheetViews>
    <sheetView topLeftCell="A15" zoomScaleNormal="100" workbookViewId="0">
      <selection activeCell="H107" sqref="H107"/>
    </sheetView>
  </sheetViews>
  <sheetFormatPr baseColWidth="10" defaultColWidth="8.83203125" defaultRowHeight="15" x14ac:dyDescent="0.2"/>
  <cols>
    <col min="1" max="1" width="3.5" customWidth="1"/>
    <col min="3" max="3" width="2.6640625" customWidth="1"/>
    <col min="4" max="4" width="9.6640625" customWidth="1"/>
    <col min="6" max="6" width="3.1640625" customWidth="1"/>
    <col min="29" max="29" width="10" bestFit="1" customWidth="1"/>
    <col min="30" max="30" width="12.6640625" bestFit="1" customWidth="1"/>
    <col min="31" max="31" width="10.33203125" customWidth="1"/>
    <col min="32" max="32" width="12.33203125" customWidth="1"/>
    <col min="33" max="33" width="11.6640625" bestFit="1" customWidth="1"/>
    <col min="34" max="34" width="9.33203125" bestFit="1" customWidth="1"/>
    <col min="35" max="35" width="12" bestFit="1" customWidth="1"/>
    <col min="36" max="36" width="13.33203125" customWidth="1"/>
    <col min="37" max="37" width="10" bestFit="1" customWidth="1"/>
    <col min="38" max="38" width="10.5" bestFit="1" customWidth="1"/>
  </cols>
  <sheetData>
    <row r="1" spans="2:38" ht="30" thickBot="1" x14ac:dyDescent="0.4">
      <c r="B1" s="700" t="s">
        <v>0</v>
      </c>
      <c r="C1" s="701"/>
      <c r="D1" s="701"/>
      <c r="E1" s="701"/>
      <c r="F1" s="701"/>
      <c r="G1" s="701"/>
      <c r="H1" s="701"/>
      <c r="I1" s="701"/>
      <c r="J1" s="701"/>
      <c r="K1" s="701"/>
      <c r="L1" s="701"/>
      <c r="M1" s="701"/>
      <c r="N1" s="701"/>
      <c r="O1" s="701"/>
      <c r="P1" s="701"/>
      <c r="Q1" s="701"/>
      <c r="R1" s="701"/>
      <c r="S1" s="701"/>
      <c r="T1" s="701"/>
      <c r="U1" s="701"/>
      <c r="V1" s="701"/>
      <c r="W1" s="701"/>
      <c r="X1" s="701"/>
      <c r="Y1" s="701"/>
      <c r="Z1" s="701"/>
      <c r="AA1" s="701"/>
      <c r="AB1" s="701"/>
      <c r="AC1" s="701"/>
      <c r="AD1" s="702"/>
    </row>
    <row r="3" spans="2:38" ht="20" thickBot="1" x14ac:dyDescent="0.3">
      <c r="AH3" s="190"/>
    </row>
    <row r="4" spans="2:38" ht="29" x14ac:dyDescent="0.35">
      <c r="B4" s="705" t="s">
        <v>1</v>
      </c>
      <c r="C4" s="706"/>
      <c r="D4" s="706"/>
      <c r="E4" s="706"/>
      <c r="F4" s="706"/>
      <c r="G4" s="706"/>
      <c r="H4" s="706"/>
      <c r="I4" s="706"/>
      <c r="J4" s="706"/>
      <c r="K4" s="706"/>
      <c r="L4" s="706"/>
      <c r="M4" s="706"/>
      <c r="N4" s="706"/>
      <c r="O4" s="706"/>
      <c r="P4" s="706"/>
      <c r="Q4" s="706"/>
      <c r="R4" s="706"/>
      <c r="S4" s="706"/>
      <c r="T4" s="706"/>
      <c r="U4" s="706"/>
      <c r="V4" s="706"/>
      <c r="W4" s="706"/>
      <c r="X4" s="706"/>
      <c r="Y4" s="706"/>
      <c r="Z4" s="706"/>
      <c r="AA4" s="706"/>
      <c r="AB4" s="706"/>
      <c r="AC4" s="706"/>
      <c r="AD4" s="707"/>
      <c r="AH4" s="190"/>
    </row>
    <row r="5" spans="2:38" ht="19" x14ac:dyDescent="0.25">
      <c r="B5" s="613" t="s">
        <v>618</v>
      </c>
      <c r="AD5" s="12"/>
      <c r="AH5" s="190"/>
    </row>
    <row r="6" spans="2:38" ht="19" x14ac:dyDescent="0.25">
      <c r="B6" s="613" t="s">
        <v>2</v>
      </c>
      <c r="AD6" s="12"/>
      <c r="AH6" s="210"/>
    </row>
    <row r="7" spans="2:38" ht="20" thickBot="1" x14ac:dyDescent="0.3">
      <c r="B7" s="13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4"/>
      <c r="AG7" s="190"/>
      <c r="AH7" s="210"/>
    </row>
    <row r="8" spans="2:38" ht="30" thickBot="1" x14ac:dyDescent="0.4">
      <c r="B8" s="705" t="s">
        <v>3</v>
      </c>
      <c r="C8" s="706"/>
      <c r="D8" s="706"/>
      <c r="E8" s="706"/>
      <c r="F8" s="706"/>
      <c r="G8" s="706"/>
      <c r="H8" s="706"/>
      <c r="I8" s="706"/>
      <c r="J8" s="706"/>
      <c r="K8" s="706"/>
      <c r="L8" s="706"/>
      <c r="M8" s="706"/>
      <c r="N8" s="706"/>
      <c r="O8" s="706"/>
      <c r="P8" s="706"/>
      <c r="Q8" s="706"/>
      <c r="R8" s="706"/>
      <c r="S8" s="706"/>
      <c r="T8" s="706"/>
      <c r="U8" s="706"/>
      <c r="V8" s="706"/>
      <c r="W8" s="706"/>
      <c r="X8" s="706"/>
      <c r="Y8" s="706"/>
      <c r="Z8" s="706"/>
      <c r="AA8" s="706"/>
      <c r="AB8" s="706"/>
      <c r="AC8" s="706"/>
      <c r="AD8" s="707"/>
      <c r="AG8" s="190"/>
      <c r="AH8" s="210"/>
    </row>
    <row r="9" spans="2:38" ht="20" thickBot="1" x14ac:dyDescent="0.3">
      <c r="B9" s="11"/>
      <c r="C9" s="190" t="s">
        <v>4</v>
      </c>
      <c r="AD9" s="12"/>
      <c r="AF9" s="708" t="s">
        <v>405</v>
      </c>
      <c r="AG9" s="709"/>
      <c r="AH9" s="709"/>
      <c r="AI9" s="709"/>
      <c r="AJ9" s="709"/>
      <c r="AK9" s="710"/>
    </row>
    <row r="10" spans="2:38" ht="19" x14ac:dyDescent="0.25">
      <c r="B10" s="11"/>
      <c r="C10" s="190" t="s">
        <v>5</v>
      </c>
      <c r="AD10" s="12"/>
      <c r="AF10" s="711" t="s">
        <v>295</v>
      </c>
      <c r="AG10" s="15" t="s">
        <v>406</v>
      </c>
      <c r="AH10" s="15" t="s">
        <v>407</v>
      </c>
      <c r="AI10" s="15" t="s">
        <v>408</v>
      </c>
      <c r="AJ10" s="15" t="s">
        <v>409</v>
      </c>
      <c r="AK10" s="280" t="s">
        <v>410</v>
      </c>
    </row>
    <row r="11" spans="2:38" ht="19" x14ac:dyDescent="0.25">
      <c r="B11" s="11"/>
      <c r="D11" s="190" t="s">
        <v>690</v>
      </c>
      <c r="AD11" s="12"/>
      <c r="AF11" s="712"/>
      <c r="AG11" s="335">
        <v>1</v>
      </c>
      <c r="AH11" s="335">
        <v>2</v>
      </c>
      <c r="AI11" s="335">
        <v>3</v>
      </c>
      <c r="AJ11" s="335">
        <v>4</v>
      </c>
      <c r="AK11" s="665">
        <v>5</v>
      </c>
    </row>
    <row r="12" spans="2:38" ht="20" thickBot="1" x14ac:dyDescent="0.3">
      <c r="B12" s="11"/>
      <c r="D12" s="190" t="s">
        <v>689</v>
      </c>
      <c r="AD12" s="12"/>
      <c r="AF12" s="671" t="s">
        <v>814</v>
      </c>
      <c r="AG12" s="646" t="s">
        <v>298</v>
      </c>
      <c r="AH12" s="672" t="s">
        <v>300</v>
      </c>
      <c r="AI12" s="673" t="s">
        <v>302</v>
      </c>
      <c r="AJ12" s="673" t="s">
        <v>305</v>
      </c>
      <c r="AK12" s="674" t="s">
        <v>307</v>
      </c>
    </row>
    <row r="13" spans="2:38" ht="19" x14ac:dyDescent="0.25">
      <c r="B13" s="11"/>
      <c r="D13" s="190" t="s">
        <v>691</v>
      </c>
      <c r="AD13" s="12"/>
      <c r="AJ13" t="s">
        <v>30</v>
      </c>
    </row>
    <row r="14" spans="2:38" ht="20" thickBot="1" x14ac:dyDescent="0.3">
      <c r="B14" s="11"/>
      <c r="C14" s="190" t="s">
        <v>6</v>
      </c>
      <c r="AD14" s="12"/>
    </row>
    <row r="15" spans="2:38" ht="20" thickBot="1" x14ac:dyDescent="0.3">
      <c r="B15" s="11"/>
      <c r="C15" s="190" t="s">
        <v>7</v>
      </c>
      <c r="D15" s="190"/>
      <c r="AD15" s="12"/>
      <c r="AF15" s="691" t="s">
        <v>813</v>
      </c>
      <c r="AG15" s="692"/>
      <c r="AH15" s="692"/>
      <c r="AI15" s="692"/>
      <c r="AJ15" s="692"/>
      <c r="AK15" s="692"/>
      <c r="AL15" s="693"/>
    </row>
    <row r="16" spans="2:38" ht="19" x14ac:dyDescent="0.25">
      <c r="B16" s="11"/>
      <c r="D16" s="190" t="s">
        <v>8</v>
      </c>
      <c r="AD16" s="12"/>
      <c r="AF16" s="11"/>
      <c r="AH16" s="374" t="s">
        <v>13</v>
      </c>
      <c r="AI16" s="15" t="s">
        <v>14</v>
      </c>
      <c r="AJ16" s="15" t="s">
        <v>15</v>
      </c>
      <c r="AK16" s="15" t="s">
        <v>16</v>
      </c>
      <c r="AL16" s="280" t="s">
        <v>17</v>
      </c>
    </row>
    <row r="17" spans="2:38" ht="19" x14ac:dyDescent="0.25">
      <c r="B17" s="11"/>
      <c r="C17" s="190" t="s">
        <v>9</v>
      </c>
      <c r="D17" s="210"/>
      <c r="AD17" s="12"/>
      <c r="AF17" s="11"/>
      <c r="AH17" s="517">
        <v>1</v>
      </c>
      <c r="AI17" s="335">
        <v>2</v>
      </c>
      <c r="AJ17" s="335">
        <v>3</v>
      </c>
      <c r="AK17" s="335">
        <v>4</v>
      </c>
      <c r="AL17" s="665">
        <v>5</v>
      </c>
    </row>
    <row r="18" spans="2:38" ht="18" customHeight="1" x14ac:dyDescent="0.25">
      <c r="B18" s="11"/>
      <c r="C18" s="190"/>
      <c r="D18" s="210" t="s">
        <v>10</v>
      </c>
      <c r="AD18" s="12"/>
      <c r="AF18" s="697" t="s">
        <v>18</v>
      </c>
      <c r="AG18" s="625" t="s">
        <v>647</v>
      </c>
      <c r="AH18" s="513" t="s">
        <v>19</v>
      </c>
      <c r="AI18" s="514" t="s">
        <v>20</v>
      </c>
      <c r="AJ18" s="514" t="s">
        <v>20</v>
      </c>
      <c r="AK18" s="514" t="s">
        <v>20</v>
      </c>
      <c r="AL18" s="666" t="s">
        <v>20</v>
      </c>
    </row>
    <row r="19" spans="2:38" ht="18" customHeight="1" x14ac:dyDescent="0.25">
      <c r="B19" s="11"/>
      <c r="C19" s="190" t="s">
        <v>11</v>
      </c>
      <c r="AD19" s="12"/>
      <c r="AF19" s="703"/>
      <c r="AG19" s="626" t="s">
        <v>648</v>
      </c>
      <c r="AH19" s="374">
        <v>0</v>
      </c>
      <c r="AI19" s="527" t="s">
        <v>22</v>
      </c>
      <c r="AJ19" s="528" t="s">
        <v>23</v>
      </c>
      <c r="AK19" s="528" t="s">
        <v>23</v>
      </c>
      <c r="AL19" s="280" t="s">
        <v>24</v>
      </c>
    </row>
    <row r="20" spans="2:38" s="190" customFormat="1" ht="19" x14ac:dyDescent="0.25">
      <c r="B20" s="613"/>
      <c r="D20" s="190" t="s">
        <v>785</v>
      </c>
      <c r="AD20" s="616"/>
      <c r="AF20" s="703"/>
      <c r="AG20" s="626" t="s">
        <v>649</v>
      </c>
      <c r="AH20" s="374">
        <v>0</v>
      </c>
      <c r="AI20" s="15">
        <v>0</v>
      </c>
      <c r="AJ20" s="527" t="s">
        <v>22</v>
      </c>
      <c r="AK20" s="527" t="s">
        <v>22</v>
      </c>
      <c r="AL20" s="280" t="s">
        <v>20</v>
      </c>
    </row>
    <row r="21" spans="2:38" s="190" customFormat="1" ht="19" x14ac:dyDescent="0.25">
      <c r="B21" s="613"/>
      <c r="E21" s="190" t="s">
        <v>786</v>
      </c>
      <c r="AD21" s="616"/>
      <c r="AF21" s="703"/>
      <c r="AG21" s="626" t="s">
        <v>650</v>
      </c>
      <c r="AH21" s="374">
        <v>0</v>
      </c>
      <c r="AI21" s="15">
        <v>0</v>
      </c>
      <c r="AJ21" s="15">
        <v>0</v>
      </c>
      <c r="AK21" s="527" t="s">
        <v>22</v>
      </c>
      <c r="AL21" s="280" t="s">
        <v>20</v>
      </c>
    </row>
    <row r="22" spans="2:38" s="190" customFormat="1" ht="18" customHeight="1" thickBot="1" x14ac:dyDescent="0.3">
      <c r="B22" s="613"/>
      <c r="D22" s="190" t="s">
        <v>617</v>
      </c>
      <c r="AD22" s="616"/>
      <c r="AF22" s="704"/>
      <c r="AG22" s="670" t="s">
        <v>651</v>
      </c>
      <c r="AH22" s="371">
        <v>0</v>
      </c>
      <c r="AI22" s="214">
        <v>0</v>
      </c>
      <c r="AJ22" s="214">
        <v>0</v>
      </c>
      <c r="AK22" s="214">
        <v>0</v>
      </c>
      <c r="AL22" s="372" t="s">
        <v>28</v>
      </c>
    </row>
    <row r="23" spans="2:38" ht="19" x14ac:dyDescent="0.25">
      <c r="B23" s="11"/>
      <c r="D23" s="190" t="s">
        <v>616</v>
      </c>
      <c r="AD23" s="12"/>
      <c r="AK23" t="s">
        <v>30</v>
      </c>
    </row>
    <row r="24" spans="2:38" s="190" customFormat="1" ht="20" thickBot="1" x14ac:dyDescent="0.3">
      <c r="B24" s="614"/>
      <c r="C24" s="617"/>
      <c r="D24" s="617"/>
      <c r="E24" s="617"/>
      <c r="F24" s="617"/>
      <c r="G24" s="617"/>
      <c r="H24" s="617"/>
      <c r="I24" s="617"/>
      <c r="J24" s="617"/>
      <c r="K24" s="617"/>
      <c r="L24" s="617"/>
      <c r="M24" s="617"/>
      <c r="N24" s="617"/>
      <c r="O24" s="617"/>
      <c r="P24" s="617"/>
      <c r="Q24" s="617"/>
      <c r="R24" s="617"/>
      <c r="S24" s="617"/>
      <c r="T24" s="617"/>
      <c r="U24" s="617"/>
      <c r="V24" s="617"/>
      <c r="W24" s="617"/>
      <c r="X24" s="617"/>
      <c r="Y24" s="617"/>
      <c r="Z24" s="617"/>
      <c r="AA24" s="617"/>
      <c r="AB24" s="617"/>
      <c r="AC24" s="617"/>
      <c r="AD24" s="618"/>
    </row>
    <row r="25" spans="2:38" ht="29" customHeight="1" thickBot="1" x14ac:dyDescent="0.4">
      <c r="B25" s="705" t="s">
        <v>12</v>
      </c>
      <c r="C25" s="706"/>
      <c r="D25" s="706"/>
      <c r="E25" s="706"/>
      <c r="F25" s="706"/>
      <c r="G25" s="706"/>
      <c r="H25" s="706"/>
      <c r="I25" s="706"/>
      <c r="J25" s="706"/>
      <c r="K25" s="706"/>
      <c r="L25" s="706"/>
      <c r="M25" s="706"/>
      <c r="N25" s="706"/>
      <c r="O25" s="706"/>
      <c r="P25" s="706"/>
      <c r="Q25" s="706"/>
      <c r="R25" s="706"/>
      <c r="S25" s="706"/>
      <c r="T25" s="706"/>
      <c r="U25" s="706"/>
      <c r="V25" s="706"/>
      <c r="W25" s="706"/>
      <c r="X25" s="706"/>
      <c r="Y25" s="706"/>
      <c r="Z25" s="706"/>
      <c r="AA25" s="706"/>
      <c r="AB25" s="706"/>
      <c r="AC25" s="706"/>
      <c r="AD25" s="707"/>
      <c r="AF25" s="691" t="s">
        <v>419</v>
      </c>
      <c r="AG25" s="692"/>
      <c r="AH25" s="692"/>
      <c r="AI25" s="692"/>
      <c r="AJ25" s="692"/>
      <c r="AK25" s="692"/>
      <c r="AL25" s="693"/>
    </row>
    <row r="26" spans="2:38" x14ac:dyDescent="0.2">
      <c r="B26" s="11"/>
      <c r="AD26" s="12"/>
      <c r="AF26" s="11"/>
      <c r="AH26" s="694" t="s">
        <v>421</v>
      </c>
      <c r="AI26" s="695"/>
      <c r="AJ26" s="695"/>
      <c r="AK26" s="695"/>
      <c r="AL26" s="696"/>
    </row>
    <row r="27" spans="2:38" x14ac:dyDescent="0.2">
      <c r="B27" s="11"/>
      <c r="F27" t="s">
        <v>791</v>
      </c>
      <c r="AD27" s="12"/>
      <c r="AF27" s="11"/>
      <c r="AH27" s="517">
        <v>1</v>
      </c>
      <c r="AI27" s="335">
        <v>2</v>
      </c>
      <c r="AJ27" s="335">
        <v>3</v>
      </c>
      <c r="AK27" s="335">
        <v>4</v>
      </c>
      <c r="AL27" s="665">
        <v>5</v>
      </c>
    </row>
    <row r="28" spans="2:38" ht="14.5" customHeight="1" x14ac:dyDescent="0.2">
      <c r="B28" s="11"/>
      <c r="F28" s="9" t="s">
        <v>619</v>
      </c>
      <c r="AD28" s="12"/>
      <c r="AF28" s="697" t="s">
        <v>425</v>
      </c>
      <c r="AG28" s="515">
        <v>1</v>
      </c>
      <c r="AH28" s="518">
        <v>1</v>
      </c>
      <c r="AI28" s="519">
        <v>1</v>
      </c>
      <c r="AJ28" s="519">
        <v>1.075</v>
      </c>
      <c r="AK28" s="519">
        <v>1.4285000000000001</v>
      </c>
      <c r="AL28" s="666" t="s">
        <v>281</v>
      </c>
    </row>
    <row r="29" spans="2:38" x14ac:dyDescent="0.2">
      <c r="B29" s="11"/>
      <c r="F29" s="9" t="s">
        <v>21</v>
      </c>
      <c r="AD29" s="12"/>
      <c r="AF29" s="698"/>
      <c r="AG29" s="373">
        <v>2</v>
      </c>
      <c r="AH29" s="520">
        <v>1.075</v>
      </c>
      <c r="AI29" s="653">
        <v>1.19</v>
      </c>
      <c r="AJ29" s="653">
        <v>1.4285000000000001</v>
      </c>
      <c r="AK29" s="653">
        <v>1.8520000000000001</v>
      </c>
      <c r="AL29" s="280" t="s">
        <v>281</v>
      </c>
    </row>
    <row r="30" spans="2:38" x14ac:dyDescent="0.2">
      <c r="B30" s="11"/>
      <c r="F30" s="9" t="s">
        <v>25</v>
      </c>
      <c r="AD30" s="12"/>
      <c r="AF30" s="698"/>
      <c r="AG30" s="373">
        <v>3</v>
      </c>
      <c r="AH30" s="520">
        <v>1.1764699999999999</v>
      </c>
      <c r="AI30" s="653">
        <v>1.4492750000000001</v>
      </c>
      <c r="AJ30" s="653">
        <v>1.7857000000000001</v>
      </c>
      <c r="AK30" s="653">
        <v>2.222</v>
      </c>
      <c r="AL30" s="280" t="s">
        <v>281</v>
      </c>
    </row>
    <row r="31" spans="2:38" x14ac:dyDescent="0.2">
      <c r="B31" s="11"/>
      <c r="G31" s="9" t="s">
        <v>26</v>
      </c>
      <c r="AD31" s="12"/>
      <c r="AF31" s="698"/>
      <c r="AG31" s="373">
        <v>4</v>
      </c>
      <c r="AH31" s="520">
        <v>1.639</v>
      </c>
      <c r="AI31" s="653">
        <v>1.7543</v>
      </c>
      <c r="AJ31" s="653">
        <v>1.8520000000000001</v>
      </c>
      <c r="AK31" s="653" t="s">
        <v>281</v>
      </c>
      <c r="AL31" s="280" t="s">
        <v>281</v>
      </c>
    </row>
    <row r="32" spans="2:38" ht="16" thickBot="1" x14ac:dyDescent="0.25">
      <c r="B32" s="11"/>
      <c r="G32" s="9" t="s">
        <v>27</v>
      </c>
      <c r="AD32" s="12"/>
      <c r="AF32" s="699"/>
      <c r="AG32" s="667">
        <v>5</v>
      </c>
      <c r="AH32" s="668">
        <v>2.222</v>
      </c>
      <c r="AI32" s="669">
        <v>2.5</v>
      </c>
      <c r="AJ32" s="669" t="s">
        <v>281</v>
      </c>
      <c r="AK32" s="669" t="s">
        <v>281</v>
      </c>
      <c r="AL32" s="372" t="s">
        <v>281</v>
      </c>
    </row>
    <row r="33" spans="2:37" x14ac:dyDescent="0.2">
      <c r="B33" s="11"/>
      <c r="F33" s="9" t="s">
        <v>29</v>
      </c>
      <c r="AD33" s="12"/>
      <c r="AK33" t="s">
        <v>30</v>
      </c>
    </row>
    <row r="34" spans="2:37" x14ac:dyDescent="0.2">
      <c r="B34" s="11"/>
      <c r="G34" s="9" t="s">
        <v>31</v>
      </c>
      <c r="AD34" s="12"/>
    </row>
    <row r="35" spans="2:37" x14ac:dyDescent="0.2">
      <c r="B35" s="11"/>
      <c r="G35" s="9" t="s">
        <v>792</v>
      </c>
      <c r="AD35" s="12"/>
    </row>
    <row r="36" spans="2:37" x14ac:dyDescent="0.2">
      <c r="B36" s="11"/>
      <c r="F36" s="9" t="s">
        <v>32</v>
      </c>
      <c r="AD36" s="12"/>
    </row>
    <row r="37" spans="2:37" x14ac:dyDescent="0.2">
      <c r="B37" s="11"/>
      <c r="F37" s="9" t="s">
        <v>795</v>
      </c>
      <c r="AD37" s="12"/>
    </row>
    <row r="38" spans="2:37" x14ac:dyDescent="0.2">
      <c r="B38" s="11"/>
      <c r="X38" s="9"/>
      <c r="AD38" s="12"/>
    </row>
    <row r="39" spans="2:37" x14ac:dyDescent="0.2">
      <c r="B39" s="11"/>
      <c r="X39" s="9"/>
      <c r="AD39" s="12"/>
    </row>
    <row r="40" spans="2:37" x14ac:dyDescent="0.2">
      <c r="B40" s="11"/>
      <c r="F40" s="9"/>
      <c r="AD40" s="12"/>
    </row>
    <row r="41" spans="2:37" x14ac:dyDescent="0.2">
      <c r="B41" s="11"/>
      <c r="F41" t="s">
        <v>793</v>
      </c>
      <c r="AD41" s="12"/>
    </row>
    <row r="42" spans="2:37" x14ac:dyDescent="0.2">
      <c r="B42" s="11" t="s">
        <v>33</v>
      </c>
      <c r="F42" s="9" t="s">
        <v>34</v>
      </c>
      <c r="AD42" s="12"/>
    </row>
    <row r="43" spans="2:37" x14ac:dyDescent="0.2">
      <c r="B43" s="11"/>
      <c r="F43" s="9" t="s">
        <v>35</v>
      </c>
      <c r="AD43" s="12"/>
    </row>
    <row r="44" spans="2:37" x14ac:dyDescent="0.2">
      <c r="B44" s="11"/>
      <c r="F44" s="9" t="s">
        <v>36</v>
      </c>
      <c r="AD44" s="12"/>
    </row>
    <row r="45" spans="2:37" x14ac:dyDescent="0.2">
      <c r="B45" s="11"/>
      <c r="F45" s="9" t="s">
        <v>37</v>
      </c>
      <c r="AD45" s="12"/>
    </row>
    <row r="46" spans="2:37" x14ac:dyDescent="0.2">
      <c r="B46" s="11"/>
      <c r="F46" s="9"/>
      <c r="AD46" s="12"/>
    </row>
    <row r="47" spans="2:37" x14ac:dyDescent="0.2">
      <c r="B47" s="11"/>
      <c r="AD47" s="12"/>
    </row>
    <row r="48" spans="2:37" x14ac:dyDescent="0.2">
      <c r="B48" s="11"/>
      <c r="F48" t="s">
        <v>794</v>
      </c>
      <c r="AD48" s="12"/>
    </row>
    <row r="49" spans="2:30" x14ac:dyDescent="0.2">
      <c r="B49" s="11"/>
      <c r="F49" s="9" t="s">
        <v>620</v>
      </c>
      <c r="AD49" s="12"/>
    </row>
    <row r="50" spans="2:30" x14ac:dyDescent="0.2">
      <c r="B50" s="11"/>
      <c r="F50" s="9" t="s">
        <v>38</v>
      </c>
      <c r="AD50" s="12"/>
    </row>
    <row r="51" spans="2:30" x14ac:dyDescent="0.2">
      <c r="B51" s="11"/>
      <c r="F51" s="9" t="s">
        <v>39</v>
      </c>
      <c r="AD51" s="12"/>
    </row>
    <row r="52" spans="2:30" x14ac:dyDescent="0.2">
      <c r="B52" s="11"/>
      <c r="F52" s="9" t="s">
        <v>40</v>
      </c>
      <c r="AD52" s="12"/>
    </row>
    <row r="53" spans="2:30" x14ac:dyDescent="0.2">
      <c r="B53" s="11"/>
      <c r="F53" s="9" t="s">
        <v>798</v>
      </c>
      <c r="AD53" s="12"/>
    </row>
    <row r="54" spans="2:30" x14ac:dyDescent="0.2">
      <c r="B54" s="11"/>
      <c r="AD54" s="12"/>
    </row>
    <row r="55" spans="2:30" x14ac:dyDescent="0.2">
      <c r="B55" s="11"/>
      <c r="AD55" s="12"/>
    </row>
    <row r="56" spans="2:30" x14ac:dyDescent="0.2">
      <c r="B56" s="11"/>
      <c r="F56" t="s">
        <v>621</v>
      </c>
      <c r="AD56" s="12"/>
    </row>
    <row r="57" spans="2:30" x14ac:dyDescent="0.2">
      <c r="B57" s="11"/>
      <c r="F57" s="9" t="s">
        <v>797</v>
      </c>
      <c r="AD57" s="12"/>
    </row>
    <row r="58" spans="2:30" x14ac:dyDescent="0.2">
      <c r="B58" s="11"/>
      <c r="G58" s="9" t="s">
        <v>41</v>
      </c>
      <c r="AD58" s="12"/>
    </row>
    <row r="59" spans="2:30" x14ac:dyDescent="0.2">
      <c r="B59" s="11"/>
      <c r="F59" s="9" t="s">
        <v>42</v>
      </c>
      <c r="AD59" s="12"/>
    </row>
    <row r="60" spans="2:30" x14ac:dyDescent="0.2">
      <c r="B60" s="11"/>
      <c r="F60" s="9" t="s">
        <v>43</v>
      </c>
      <c r="AD60" s="12"/>
    </row>
    <row r="61" spans="2:30" x14ac:dyDescent="0.2">
      <c r="B61" s="11"/>
      <c r="F61" s="9" t="s">
        <v>796</v>
      </c>
      <c r="AD61" s="12"/>
    </row>
    <row r="62" spans="2:30" x14ac:dyDescent="0.2">
      <c r="B62" s="11"/>
      <c r="F62" s="9" t="s">
        <v>44</v>
      </c>
      <c r="AD62" s="12"/>
    </row>
    <row r="63" spans="2:30" x14ac:dyDescent="0.2">
      <c r="B63" s="11"/>
      <c r="AD63" s="12"/>
    </row>
    <row r="64" spans="2:30" x14ac:dyDescent="0.2">
      <c r="B64" s="11"/>
      <c r="AD64" s="12"/>
    </row>
    <row r="65" spans="2:30" x14ac:dyDescent="0.2">
      <c r="B65" s="11"/>
      <c r="F65" t="s">
        <v>45</v>
      </c>
      <c r="AD65" s="12"/>
    </row>
    <row r="66" spans="2:30" x14ac:dyDescent="0.2">
      <c r="B66" s="11"/>
      <c r="F66" s="9" t="s">
        <v>46</v>
      </c>
      <c r="AD66" s="12"/>
    </row>
    <row r="67" spans="2:30" x14ac:dyDescent="0.2">
      <c r="B67" s="11"/>
      <c r="AD67" s="12"/>
    </row>
    <row r="68" spans="2:30" x14ac:dyDescent="0.2">
      <c r="B68" s="11"/>
      <c r="AD68" s="12"/>
    </row>
    <row r="69" spans="2:30" x14ac:dyDescent="0.2">
      <c r="B69" s="11"/>
      <c r="F69" t="s">
        <v>47</v>
      </c>
      <c r="AD69" s="12"/>
    </row>
    <row r="70" spans="2:30" x14ac:dyDescent="0.2">
      <c r="B70" s="11"/>
      <c r="F70" s="9" t="s">
        <v>48</v>
      </c>
      <c r="AD70" s="12"/>
    </row>
    <row r="71" spans="2:30" x14ac:dyDescent="0.2">
      <c r="B71" s="11"/>
      <c r="F71" s="9" t="s">
        <v>49</v>
      </c>
      <c r="AD71" s="12"/>
    </row>
    <row r="72" spans="2:30" x14ac:dyDescent="0.2">
      <c r="B72" s="11"/>
      <c r="F72" s="9"/>
      <c r="AD72" s="12"/>
    </row>
    <row r="73" spans="2:30" x14ac:dyDescent="0.2">
      <c r="B73" s="11"/>
      <c r="AD73" s="12"/>
    </row>
    <row r="74" spans="2:30" x14ac:dyDescent="0.2">
      <c r="B74" s="11"/>
      <c r="F74" t="s">
        <v>50</v>
      </c>
      <c r="AD74" s="12"/>
    </row>
    <row r="75" spans="2:30" x14ac:dyDescent="0.2">
      <c r="B75" s="11"/>
      <c r="F75" s="9" t="s">
        <v>790</v>
      </c>
      <c r="AD75" s="12"/>
    </row>
    <row r="76" spans="2:30" x14ac:dyDescent="0.2">
      <c r="B76" s="11"/>
      <c r="F76" s="9" t="s">
        <v>51</v>
      </c>
      <c r="AD76" s="12"/>
    </row>
    <row r="77" spans="2:30" ht="16" thickBot="1" x14ac:dyDescent="0.25">
      <c r="B77" s="13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4"/>
    </row>
    <row r="79" spans="2:30" hidden="1" x14ac:dyDescent="0.2">
      <c r="C79" t="s">
        <v>52</v>
      </c>
    </row>
    <row r="80" spans="2:30" ht="17" hidden="1" x14ac:dyDescent="0.2">
      <c r="C80" t="s">
        <v>53</v>
      </c>
      <c r="E80" t="s">
        <v>54</v>
      </c>
      <c r="H80" s="475" t="s">
        <v>55</v>
      </c>
    </row>
    <row r="81" spans="3:8" ht="17" hidden="1" x14ac:dyDescent="0.2">
      <c r="C81" t="s">
        <v>56</v>
      </c>
      <c r="E81" t="s">
        <v>54</v>
      </c>
      <c r="H81" s="475" t="s">
        <v>57</v>
      </c>
    </row>
    <row r="82" spans="3:8" ht="17" hidden="1" x14ac:dyDescent="0.2">
      <c r="C82" t="s">
        <v>58</v>
      </c>
      <c r="E82" t="s">
        <v>59</v>
      </c>
      <c r="H82" s="475" t="s">
        <v>60</v>
      </c>
    </row>
    <row r="83" spans="3:8" ht="17" hidden="1" x14ac:dyDescent="0.2">
      <c r="C83" t="s">
        <v>61</v>
      </c>
      <c r="E83" t="s">
        <v>59</v>
      </c>
      <c r="H83" s="475" t="s">
        <v>62</v>
      </c>
    </row>
    <row r="84" spans="3:8" ht="17" hidden="1" x14ac:dyDescent="0.2">
      <c r="C84" t="s">
        <v>63</v>
      </c>
      <c r="E84" t="s">
        <v>59</v>
      </c>
      <c r="H84" s="475" t="s">
        <v>64</v>
      </c>
    </row>
    <row r="85" spans="3:8" hidden="1" x14ac:dyDescent="0.2"/>
    <row r="86" spans="3:8" hidden="1" x14ac:dyDescent="0.2">
      <c r="C86" t="s">
        <v>65</v>
      </c>
    </row>
    <row r="87" spans="3:8" hidden="1" x14ac:dyDescent="0.2">
      <c r="C87" t="s">
        <v>66</v>
      </c>
    </row>
    <row r="88" spans="3:8" hidden="1" x14ac:dyDescent="0.2">
      <c r="C88" t="s">
        <v>67</v>
      </c>
    </row>
  </sheetData>
  <mergeCells count="11">
    <mergeCell ref="AF15:AL15"/>
    <mergeCell ref="AF25:AL25"/>
    <mergeCell ref="AH26:AL26"/>
    <mergeCell ref="AF28:AF32"/>
    <mergeCell ref="B1:AD1"/>
    <mergeCell ref="AF18:AF22"/>
    <mergeCell ref="B8:AD8"/>
    <mergeCell ref="B25:AD25"/>
    <mergeCell ref="B4:AD4"/>
    <mergeCell ref="AF9:AK9"/>
    <mergeCell ref="AF10:AF11"/>
  </mergeCells>
  <hyperlinks>
    <hyperlink ref="H80" r:id="rId1" xr:uid="{B78843C4-58EC-407D-9CFE-CB59FDC78673}"/>
    <hyperlink ref="H81" r:id="rId2" xr:uid="{8BE2C57C-BCCF-4574-BB93-19C64CCB5F66}"/>
    <hyperlink ref="H83" r:id="rId3" xr:uid="{920D4110-F63C-4C0E-A729-B74E83DA85BE}"/>
    <hyperlink ref="H84" r:id="rId4" xr:uid="{15F40995-2F93-4F26-970B-CEFF2F3960EB}"/>
    <hyperlink ref="H82" r:id="rId5" xr:uid="{D6C78E28-BFB8-498C-AE74-D4C48E552C82}"/>
  </hyperlinks>
  <pageMargins left="0.7" right="0.7" top="0.75" bottom="0.75" header="0.3" footer="0.3"/>
  <pageSetup orientation="portrait" r:id="rId6"/>
  <drawing r:id="rId7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56967-39A0-423C-96D5-0EE1599A315E}">
  <sheetPr>
    <tabColor rgb="FFFFFF00"/>
  </sheetPr>
  <dimension ref="A1:BO214"/>
  <sheetViews>
    <sheetView zoomScaleNormal="100" workbookViewId="0">
      <selection activeCell="K20" sqref="K20:L20"/>
    </sheetView>
  </sheetViews>
  <sheetFormatPr baseColWidth="10" defaultColWidth="8.83203125" defaultRowHeight="15" x14ac:dyDescent="0.2"/>
  <cols>
    <col min="1" max="1" width="6" customWidth="1"/>
    <col min="2" max="2" width="35" bestFit="1" customWidth="1"/>
    <col min="3" max="3" width="27.1640625" bestFit="1" customWidth="1"/>
    <col min="4" max="4" width="15.33203125" bestFit="1" customWidth="1"/>
    <col min="5" max="5" width="43" bestFit="1" customWidth="1"/>
    <col min="6" max="6" width="21.6640625" bestFit="1" customWidth="1"/>
    <col min="7" max="7" width="8.83203125" bestFit="1" customWidth="1"/>
    <col min="8" max="8" width="4.5" bestFit="1" customWidth="1"/>
    <col min="9" max="9" width="23.1640625" bestFit="1" customWidth="1"/>
    <col min="10" max="11" width="19.6640625" bestFit="1" customWidth="1"/>
    <col min="12" max="12" width="87.1640625" bestFit="1" customWidth="1"/>
    <col min="13" max="13" width="10" customWidth="1"/>
    <col min="14" max="17" width="9.6640625" customWidth="1"/>
    <col min="18" max="18" width="22.5" customWidth="1"/>
    <col min="19" max="19" width="12.83203125" customWidth="1"/>
    <col min="20" max="20" width="14.83203125" customWidth="1"/>
    <col min="21" max="23" width="9.1640625" customWidth="1"/>
    <col min="24" max="24" width="10.83203125" customWidth="1"/>
    <col min="25" max="25" width="12.33203125" bestFit="1" customWidth="1"/>
    <col min="26" max="26" width="11.33203125" customWidth="1"/>
    <col min="27" max="27" width="10.6640625" customWidth="1"/>
    <col min="28" max="29" width="10.33203125" customWidth="1"/>
    <col min="30" max="30" width="9" customWidth="1"/>
    <col min="31" max="36" width="9.1640625" customWidth="1"/>
    <col min="37" max="37" width="20.5" bestFit="1" customWidth="1"/>
    <col min="38" max="38" width="11.5" bestFit="1" customWidth="1"/>
    <col min="39" max="39" width="10.1640625" bestFit="1" customWidth="1"/>
    <col min="40" max="41" width="9.1640625" customWidth="1"/>
    <col min="42" max="42" width="12.5" customWidth="1"/>
    <col min="43" max="43" width="11.5" customWidth="1"/>
    <col min="44" max="44" width="19" customWidth="1"/>
    <col min="45" max="53" width="9.1640625" customWidth="1"/>
    <col min="54" max="58" width="9.1640625" hidden="1" customWidth="1"/>
    <col min="59" max="59" width="9.1640625" customWidth="1"/>
  </cols>
  <sheetData>
    <row r="1" spans="1:52" ht="15.75" customHeight="1" x14ac:dyDescent="0.2">
      <c r="A1" s="262"/>
      <c r="B1" s="262"/>
      <c r="C1" s="225"/>
      <c r="D1" s="224"/>
      <c r="E1" s="225"/>
      <c r="F1" s="225"/>
      <c r="G1" s="224"/>
      <c r="M1" s="58"/>
    </row>
    <row r="2" spans="1:52" ht="15.75" customHeight="1" thickBot="1" x14ac:dyDescent="0.25">
      <c r="A2" s="447"/>
      <c r="B2" s="447"/>
      <c r="C2" s="456"/>
      <c r="D2" s="457"/>
      <c r="E2" s="456"/>
      <c r="F2" s="456"/>
      <c r="G2" s="457"/>
      <c r="H2" s="58"/>
      <c r="I2" s="58"/>
      <c r="J2" s="58"/>
      <c r="K2" s="58"/>
      <c r="L2" s="58"/>
      <c r="M2" s="58"/>
    </row>
    <row r="3" spans="1:52" ht="32" thickBot="1" x14ac:dyDescent="0.4">
      <c r="A3" s="447"/>
      <c r="B3" s="922" t="s">
        <v>437</v>
      </c>
      <c r="C3" s="923"/>
      <c r="D3" s="923"/>
      <c r="E3" s="923"/>
      <c r="F3" s="924"/>
      <c r="G3" s="457"/>
      <c r="H3" s="58"/>
      <c r="I3" s="870" t="s">
        <v>438</v>
      </c>
      <c r="J3" s="871"/>
      <c r="K3" s="871"/>
      <c r="L3" s="872"/>
      <c r="M3" s="450"/>
      <c r="AP3" s="993" t="s">
        <v>439</v>
      </c>
      <c r="AQ3" s="995"/>
      <c r="AS3" s="993" t="s">
        <v>235</v>
      </c>
      <c r="AT3" s="994"/>
      <c r="AU3" s="995"/>
    </row>
    <row r="4" spans="1:52" ht="31" x14ac:dyDescent="0.2">
      <c r="A4" s="447"/>
      <c r="B4" s="235" t="s">
        <v>107</v>
      </c>
      <c r="C4" s="1023" t="str">
        <f>Input!C18</f>
        <v>Loader</v>
      </c>
      <c r="D4" s="1024"/>
      <c r="E4" s="1025"/>
      <c r="F4" s="472" t="s">
        <v>233</v>
      </c>
      <c r="G4" s="457"/>
      <c r="H4" s="58"/>
      <c r="I4" s="873"/>
      <c r="J4" s="874"/>
      <c r="K4" s="874"/>
      <c r="L4" s="875"/>
      <c r="M4" s="450"/>
      <c r="AI4" s="536"/>
      <c r="AJ4" s="537"/>
      <c r="AK4" s="537" t="s">
        <v>239</v>
      </c>
      <c r="AL4" s="537" t="s">
        <v>240</v>
      </c>
      <c r="AM4" s="538" t="s">
        <v>235</v>
      </c>
      <c r="AP4" s="489"/>
      <c r="AQ4" s="490" t="s">
        <v>440</v>
      </c>
      <c r="AS4" s="489"/>
      <c r="AT4" s="223" t="s">
        <v>440</v>
      </c>
      <c r="AU4" s="490" t="s">
        <v>243</v>
      </c>
    </row>
    <row r="5" spans="1:52" ht="31" x14ac:dyDescent="0.2">
      <c r="A5" s="447"/>
      <c r="B5" s="928" t="s">
        <v>237</v>
      </c>
      <c r="C5" s="907">
        <f>IF(C4="None","",IF(Input!C7="cut-to-length",J31,AM5*AL5))</f>
        <v>81.229354805178787</v>
      </c>
      <c r="D5" s="908"/>
      <c r="E5" s="930"/>
      <c r="F5" s="294" t="s">
        <v>238</v>
      </c>
      <c r="G5" s="457"/>
      <c r="H5" s="58"/>
      <c r="I5" s="873"/>
      <c r="J5" s="874"/>
      <c r="K5" s="874"/>
      <c r="L5" s="875"/>
      <c r="M5" s="450"/>
      <c r="AI5" s="491" t="str">
        <f>IF(Input!C18="Loader","Loader","")</f>
        <v>Loader</v>
      </c>
      <c r="AJ5" s="492" t="str">
        <f>IF(Input!C7="Whole-Tree", "WT", IF( Input!C7= "Tree-Length", "TL", "CTL"))</f>
        <v>WT</v>
      </c>
      <c r="AK5" s="540">
        <f>AVERAGE(J23:J26)</f>
        <v>0.71231415889120653</v>
      </c>
      <c r="AL5" s="541">
        <f>60/AK5</f>
        <v>84.232496646418539</v>
      </c>
      <c r="AM5" s="542">
        <f>AT5</f>
        <v>0.9643469924221052</v>
      </c>
      <c r="AP5" s="491" t="s">
        <v>115</v>
      </c>
      <c r="AQ5" s="539">
        <v>0.65</v>
      </c>
      <c r="AS5" s="491" t="s">
        <v>115</v>
      </c>
      <c r="AT5" s="494">
        <f>G23*IF(Input!C8=4,'Tree volume estimation'!P8,'Tree volume estimation'!U8)/G24</f>
        <v>0.9643469924221052</v>
      </c>
      <c r="AU5" s="493">
        <f>G23*IF(Input!C8=4,'Tree volume estimation'!P8,'Tree volume estimation'!U8)/G24/2</f>
        <v>0.4821734962110526</v>
      </c>
    </row>
    <row r="6" spans="1:52" ht="31" x14ac:dyDescent="0.2">
      <c r="A6" s="447"/>
      <c r="B6" s="929"/>
      <c r="C6" s="931">
        <f>IF(C4="None","",C5*'Tree volume estimation'!$E$15/100)</f>
        <v>34.241975688928989</v>
      </c>
      <c r="D6" s="932"/>
      <c r="E6" s="933"/>
      <c r="F6" s="295" t="s">
        <v>246</v>
      </c>
      <c r="G6" s="457"/>
      <c r="H6" s="58"/>
      <c r="I6" s="873"/>
      <c r="J6" s="874"/>
      <c r="K6" s="874"/>
      <c r="L6" s="875"/>
      <c r="M6" s="450"/>
      <c r="X6" s="4"/>
    </row>
    <row r="7" spans="1:52" ht="31" x14ac:dyDescent="0.2">
      <c r="A7" s="447"/>
      <c r="B7" s="928" t="s">
        <v>247</v>
      </c>
      <c r="C7" s="907">
        <f>IF(C4="None","",'Machine Rates'!AB17/C6)</f>
        <v>5.7514206225897322</v>
      </c>
      <c r="D7" s="908"/>
      <c r="E7" s="930"/>
      <c r="F7" s="294" t="s">
        <v>158</v>
      </c>
      <c r="G7" s="457"/>
      <c r="H7" s="58"/>
      <c r="I7" s="873"/>
      <c r="J7" s="874"/>
      <c r="K7" s="874"/>
      <c r="L7" s="875"/>
      <c r="M7" s="450"/>
      <c r="N7" s="4"/>
      <c r="O7" s="4"/>
      <c r="P7" s="4"/>
      <c r="Q7" s="4"/>
      <c r="R7" s="224"/>
      <c r="S7" s="225"/>
      <c r="V7" s="225"/>
      <c r="AA7" s="4"/>
    </row>
    <row r="8" spans="1:52" ht="31" x14ac:dyDescent="0.2">
      <c r="A8" s="447"/>
      <c r="B8" s="934"/>
      <c r="C8" s="909">
        <f>IF(C4="None","",'Machine Rates'!AB17/C5)</f>
        <v>2.424493037127589</v>
      </c>
      <c r="D8" s="910"/>
      <c r="E8" s="1021"/>
      <c r="F8" s="296" t="s">
        <v>157</v>
      </c>
      <c r="G8" s="457"/>
      <c r="H8" s="58"/>
      <c r="I8" s="873"/>
      <c r="J8" s="874"/>
      <c r="K8" s="874"/>
      <c r="L8" s="875"/>
      <c r="M8" s="450"/>
    </row>
    <row r="9" spans="1:52" ht="32" thickBot="1" x14ac:dyDescent="0.25">
      <c r="A9" s="447"/>
      <c r="B9" s="935"/>
      <c r="C9" s="911">
        <f>IF(C4="None","",C8*IF(Input!C8=4,'Tree volume estimation'!P6,'Tree volume estimation'!U6))</f>
        <v>73.654242321171253</v>
      </c>
      <c r="D9" s="912"/>
      <c r="E9" s="1022"/>
      <c r="F9" s="297" t="s">
        <v>156</v>
      </c>
      <c r="G9" s="457"/>
      <c r="H9" s="58"/>
      <c r="I9" s="876"/>
      <c r="J9" s="877"/>
      <c r="K9" s="877"/>
      <c r="L9" s="878"/>
      <c r="M9" s="450"/>
    </row>
    <row r="10" spans="1:52" ht="15.75" customHeight="1" thickBot="1" x14ac:dyDescent="0.25">
      <c r="A10" s="447"/>
      <c r="B10" s="457"/>
      <c r="C10" s="457"/>
      <c r="D10" s="457"/>
      <c r="E10" s="457"/>
      <c r="F10" s="457"/>
      <c r="G10" s="457"/>
      <c r="H10" s="58"/>
      <c r="I10" s="58"/>
      <c r="J10" s="58"/>
      <c r="K10" s="58"/>
      <c r="L10" s="58"/>
      <c r="M10" s="58"/>
    </row>
    <row r="11" spans="1:52" ht="32" thickBot="1" x14ac:dyDescent="0.4">
      <c r="A11" s="447"/>
      <c r="B11" s="922" t="s">
        <v>441</v>
      </c>
      <c r="C11" s="923"/>
      <c r="D11" s="923"/>
      <c r="E11" s="923"/>
      <c r="F11" s="924"/>
      <c r="G11" s="457"/>
      <c r="H11" s="58"/>
      <c r="I11" s="58"/>
      <c r="J11" s="58"/>
      <c r="K11" s="58"/>
      <c r="L11" s="58"/>
      <c r="M11" s="58"/>
      <c r="R11" s="954" t="s">
        <v>838</v>
      </c>
      <c r="S11" s="955"/>
      <c r="T11" s="956"/>
      <c r="X11" s="1016" t="s">
        <v>831</v>
      </c>
      <c r="Y11" s="992"/>
      <c r="Z11" s="992"/>
      <c r="AA11" s="992"/>
      <c r="AB11" s="992"/>
      <c r="AC11" s="992"/>
      <c r="AD11" s="1017"/>
    </row>
    <row r="12" spans="1:52" ht="31" x14ac:dyDescent="0.2">
      <c r="A12" s="447"/>
      <c r="B12" s="235" t="s">
        <v>107</v>
      </c>
      <c r="C12" s="1023" t="str">
        <f>Input!C23</f>
        <v>Loader</v>
      </c>
      <c r="D12" s="1024"/>
      <c r="E12" s="1025"/>
      <c r="F12" s="293" t="s">
        <v>233</v>
      </c>
      <c r="G12" s="457"/>
      <c r="H12" s="58"/>
      <c r="I12" s="58"/>
      <c r="J12" s="58"/>
      <c r="K12" s="58"/>
      <c r="L12" s="58"/>
      <c r="M12" s="58"/>
      <c r="R12" s="1013" t="s">
        <v>825</v>
      </c>
      <c r="S12" s="1013"/>
      <c r="T12" s="1013"/>
      <c r="X12" s="694" t="s">
        <v>817</v>
      </c>
      <c r="Y12" s="1015"/>
      <c r="Z12" s="694" t="s">
        <v>449</v>
      </c>
      <c r="AA12" s="695"/>
      <c r="AB12" s="695"/>
      <c r="AC12" s="695"/>
      <c r="AD12" s="1015"/>
      <c r="AY12" s="314"/>
      <c r="AZ12" s="314"/>
    </row>
    <row r="13" spans="1:52" ht="31" x14ac:dyDescent="0.2">
      <c r="A13" s="447"/>
      <c r="B13" s="278" t="s">
        <v>237</v>
      </c>
      <c r="C13" s="1026">
        <f>'Chipping &amp; Grinding'!C5:E5</f>
        <v>31.088000000000001</v>
      </c>
      <c r="D13" s="1027"/>
      <c r="E13" s="1028"/>
      <c r="F13" s="298" t="s">
        <v>442</v>
      </c>
      <c r="G13" s="457"/>
      <c r="H13" s="58"/>
      <c r="I13" s="58"/>
      <c r="J13" s="58"/>
      <c r="K13" s="58"/>
      <c r="L13" s="58"/>
      <c r="M13" s="451"/>
      <c r="R13" s="513" t="s">
        <v>688</v>
      </c>
      <c r="S13" s="652" t="s">
        <v>96</v>
      </c>
      <c r="T13" s="515" t="s">
        <v>238</v>
      </c>
      <c r="X13" s="622" t="s">
        <v>287</v>
      </c>
      <c r="Y13" s="621" t="s">
        <v>828</v>
      </c>
      <c r="Z13" s="1014" t="s">
        <v>830</v>
      </c>
      <c r="AA13" s="721"/>
      <c r="AB13" s="721"/>
      <c r="AC13" s="722"/>
      <c r="AD13" s="652" t="s">
        <v>829</v>
      </c>
    </row>
    <row r="14" spans="1:52" ht="31" x14ac:dyDescent="0.2">
      <c r="A14" s="447"/>
      <c r="B14" s="928" t="s">
        <v>247</v>
      </c>
      <c r="C14" s="909">
        <f>IF(C12="None","",'Machine Rates'!AB17/C13)</f>
        <v>6.3349203916470156</v>
      </c>
      <c r="D14" s="910"/>
      <c r="E14" s="1021"/>
      <c r="F14" s="296" t="s">
        <v>159</v>
      </c>
      <c r="G14" s="457"/>
      <c r="H14" s="58"/>
      <c r="I14" s="58"/>
      <c r="J14" s="58"/>
      <c r="K14" s="58"/>
      <c r="L14" s="58"/>
      <c r="M14" s="58"/>
      <c r="R14" s="655" t="s">
        <v>826</v>
      </c>
      <c r="S14" s="654">
        <v>9</v>
      </c>
      <c r="T14" s="656">
        <v>41</v>
      </c>
      <c r="X14" s="361">
        <f ca="1">RANDBETWEEN(7,30)</f>
        <v>28</v>
      </c>
      <c r="Y14" s="5">
        <f ca="1">MAX(1,8.104607-0.49219*(X14))</f>
        <v>1</v>
      </c>
      <c r="Z14" s="660">
        <f ca="1">EXP(3.6021+0.228*Y14-0.2145)/100</f>
        <v>0.37173643421781832</v>
      </c>
      <c r="AA14" s="240">
        <f ca="1">EXP(3.539+0.412*Y14)/100</f>
        <v>0.51987328178007741</v>
      </c>
      <c r="AB14" s="240">
        <f ca="1">(20.04+17.08*Y14)/100</f>
        <v>0.37119999999999997</v>
      </c>
      <c r="AC14" s="240">
        <f ca="1">(30.482+27.915*Y14)/100</f>
        <v>0.58396999999999999</v>
      </c>
      <c r="AD14" s="663">
        <f ca="1">AVERAGE(Z14:AC14)</f>
        <v>0.46169492899947395</v>
      </c>
    </row>
    <row r="15" spans="1:52" ht="32" thickBot="1" x14ac:dyDescent="0.25">
      <c r="A15" s="447"/>
      <c r="B15" s="935"/>
      <c r="C15" s="911">
        <f>IF(C12="None","",C14*('Tree volume estimation'!A1*(1-50/100)))</f>
        <v>39.353803841064092</v>
      </c>
      <c r="D15" s="912"/>
      <c r="E15" s="1022"/>
      <c r="F15" s="297" t="s">
        <v>156</v>
      </c>
      <c r="G15" s="457"/>
      <c r="H15" s="58"/>
      <c r="I15" s="58"/>
      <c r="J15" s="58"/>
      <c r="K15" s="58"/>
      <c r="L15" s="58"/>
      <c r="M15" s="58"/>
      <c r="R15" s="657" t="s">
        <v>381</v>
      </c>
      <c r="S15" s="654">
        <v>10.039999999999999</v>
      </c>
      <c r="T15" s="656">
        <v>44.753785999999998</v>
      </c>
      <c r="X15" s="361">
        <f t="shared" ref="X15:X55" ca="1" si="0">RANDBETWEEN(7,30)</f>
        <v>27</v>
      </c>
      <c r="Y15" s="5">
        <f t="shared" ref="Y15:Y55" ca="1" si="1">MAX(1,8.104607-0.49219*(X15))</f>
        <v>1</v>
      </c>
      <c r="Z15" s="660">
        <f t="shared" ref="Z15:Z55" ca="1" si="2">EXP(3.6021+0.228*Y15-0.2145)/100</f>
        <v>0.37173643421781832</v>
      </c>
      <c r="AA15" s="240">
        <f t="shared" ref="AA15:AA55" ca="1" si="3">EXP(3.539+0.412*Y15)/100</f>
        <v>0.51987328178007741</v>
      </c>
      <c r="AB15" s="240">
        <f t="shared" ref="AB15:AB55" ca="1" si="4">(20.04+17.08*Y15)/100</f>
        <v>0.37119999999999997</v>
      </c>
      <c r="AC15" s="240">
        <f t="shared" ref="AC15:AC55" ca="1" si="5">(30.482+27.915*Y15)/100</f>
        <v>0.58396999999999999</v>
      </c>
      <c r="AD15" s="663">
        <f t="shared" ref="AD15:AD55" ca="1" si="6">AVERAGE(Z15:AC15)</f>
        <v>0.46169492899947395</v>
      </c>
    </row>
    <row r="16" spans="1:52" ht="15.75" customHeight="1" thickBot="1" x14ac:dyDescent="0.25">
      <c r="A16" s="447"/>
      <c r="B16" s="447"/>
      <c r="C16" s="447"/>
      <c r="D16" s="447"/>
      <c r="E16" s="447"/>
      <c r="F16" s="447"/>
      <c r="G16" s="447"/>
      <c r="H16" s="447"/>
      <c r="I16" s="447"/>
      <c r="J16" s="447"/>
      <c r="K16" s="447"/>
      <c r="L16" s="447"/>
      <c r="M16" s="58"/>
      <c r="R16" s="657" t="s">
        <v>342</v>
      </c>
      <c r="S16" s="654">
        <v>9.6456692913385833</v>
      </c>
      <c r="T16" s="656">
        <v>44.764000000000003</v>
      </c>
      <c r="X16" s="361">
        <f t="shared" ca="1" si="0"/>
        <v>13</v>
      </c>
      <c r="Y16" s="5">
        <f t="shared" ca="1" si="1"/>
        <v>1.7061369999999991</v>
      </c>
      <c r="Z16" s="660">
        <f t="shared" ca="1" si="2"/>
        <v>0.43667286801793892</v>
      </c>
      <c r="AA16" s="240">
        <f t="shared" ca="1" si="3"/>
        <v>0.69541830137488747</v>
      </c>
      <c r="AB16" s="240">
        <f t="shared" ca="1" si="4"/>
        <v>0.49180819959999977</v>
      </c>
      <c r="AC16" s="240">
        <f t="shared" ca="1" si="5"/>
        <v>0.78108814354999967</v>
      </c>
      <c r="AD16" s="663">
        <f t="shared" ca="1" si="6"/>
        <v>0.60124687813570654</v>
      </c>
    </row>
    <row r="17" spans="1:60" ht="32" thickBot="1" x14ac:dyDescent="0.4">
      <c r="A17" s="448"/>
      <c r="B17" s="936" t="s">
        <v>255</v>
      </c>
      <c r="C17" s="937"/>
      <c r="D17" s="937"/>
      <c r="E17" s="937"/>
      <c r="F17" s="937"/>
      <c r="G17" s="938"/>
      <c r="H17" s="447"/>
      <c r="I17" s="936" t="s">
        <v>256</v>
      </c>
      <c r="J17" s="937"/>
      <c r="K17" s="937"/>
      <c r="L17" s="938"/>
      <c r="M17" s="452"/>
      <c r="R17" s="657" t="s">
        <v>342</v>
      </c>
      <c r="S17" s="654">
        <v>9.4881889763779537</v>
      </c>
      <c r="T17" s="656">
        <v>55.404000000000003</v>
      </c>
      <c r="X17" s="361">
        <f t="shared" ca="1" si="0"/>
        <v>28</v>
      </c>
      <c r="Y17" s="5">
        <f t="shared" ca="1" si="1"/>
        <v>1</v>
      </c>
      <c r="Z17" s="660">
        <f t="shared" ca="1" si="2"/>
        <v>0.37173643421781832</v>
      </c>
      <c r="AA17" s="240">
        <f t="shared" ca="1" si="3"/>
        <v>0.51987328178007741</v>
      </c>
      <c r="AB17" s="240">
        <f t="shared" ca="1" si="4"/>
        <v>0.37119999999999997</v>
      </c>
      <c r="AC17" s="240">
        <f t="shared" ca="1" si="5"/>
        <v>0.58396999999999999</v>
      </c>
      <c r="AD17" s="663">
        <f t="shared" ca="1" si="6"/>
        <v>0.46169492899947395</v>
      </c>
    </row>
    <row r="18" spans="1:60" ht="24" x14ac:dyDescent="0.3">
      <c r="A18" s="449"/>
      <c r="B18" s="939" t="s">
        <v>809</v>
      </c>
      <c r="C18" s="940"/>
      <c r="D18" s="940"/>
      <c r="E18" s="940"/>
      <c r="F18" s="940"/>
      <c r="G18" s="941"/>
      <c r="H18" s="447"/>
      <c r="I18" s="939" t="s">
        <v>810</v>
      </c>
      <c r="J18" s="940"/>
      <c r="K18" s="940"/>
      <c r="L18" s="941"/>
      <c r="M18" s="453"/>
      <c r="N18" s="266"/>
      <c r="O18" s="266"/>
      <c r="P18" s="266"/>
      <c r="Q18" s="266"/>
      <c r="R18" s="658" t="s">
        <v>452</v>
      </c>
      <c r="S18" s="624">
        <v>11</v>
      </c>
      <c r="T18" s="659">
        <v>58</v>
      </c>
      <c r="X18" s="361">
        <f t="shared" ca="1" si="0"/>
        <v>25</v>
      </c>
      <c r="Y18" s="5">
        <f t="shared" ca="1" si="1"/>
        <v>1</v>
      </c>
      <c r="Z18" s="660">
        <f t="shared" ca="1" si="2"/>
        <v>0.37173643421781832</v>
      </c>
      <c r="AA18" s="240">
        <f t="shared" ca="1" si="3"/>
        <v>0.51987328178007741</v>
      </c>
      <c r="AB18" s="240">
        <f t="shared" ca="1" si="4"/>
        <v>0.37119999999999997</v>
      </c>
      <c r="AC18" s="240">
        <f t="shared" ca="1" si="5"/>
        <v>0.58396999999999999</v>
      </c>
      <c r="AD18" s="663">
        <f t="shared" ca="1" si="6"/>
        <v>0.46169492899947395</v>
      </c>
    </row>
    <row r="19" spans="1:60" x14ac:dyDescent="0.2">
      <c r="A19" s="58"/>
      <c r="B19" s="267" t="s">
        <v>259</v>
      </c>
      <c r="C19" s="219" t="s">
        <v>166</v>
      </c>
      <c r="D19" s="222" t="s">
        <v>260</v>
      </c>
      <c r="E19" s="219" t="s">
        <v>261</v>
      </c>
      <c r="F19" s="222" t="s">
        <v>262</v>
      </c>
      <c r="G19" s="250" t="s">
        <v>263</v>
      </c>
      <c r="H19" s="447"/>
      <c r="I19" s="241" t="s">
        <v>130</v>
      </c>
      <c r="J19" s="220" t="s">
        <v>264</v>
      </c>
      <c r="K19" s="219" t="s">
        <v>688</v>
      </c>
      <c r="L19" s="215" t="s">
        <v>265</v>
      </c>
      <c r="M19" s="454"/>
      <c r="X19" s="361">
        <f t="shared" ca="1" si="0"/>
        <v>26</v>
      </c>
      <c r="Y19" s="5">
        <f t="shared" ca="1" si="1"/>
        <v>1</v>
      </c>
      <c r="Z19" s="660">
        <f t="shared" ca="1" si="2"/>
        <v>0.37173643421781832</v>
      </c>
      <c r="AA19" s="240">
        <f t="shared" ca="1" si="3"/>
        <v>0.51987328178007741</v>
      </c>
      <c r="AB19" s="240">
        <f t="shared" ca="1" si="4"/>
        <v>0.37119999999999997</v>
      </c>
      <c r="AC19" s="240">
        <f t="shared" ca="1" si="5"/>
        <v>0.58396999999999999</v>
      </c>
      <c r="AD19" s="663">
        <f t="shared" ca="1" si="6"/>
        <v>0.46169492899947395</v>
      </c>
      <c r="BB19" t="s">
        <v>287</v>
      </c>
      <c r="BC19" t="s">
        <v>238</v>
      </c>
    </row>
    <row r="20" spans="1:60" x14ac:dyDescent="0.2">
      <c r="A20" s="58"/>
      <c r="B20" s="232" t="s">
        <v>783</v>
      </c>
      <c r="C20" s="318"/>
      <c r="D20" s="240">
        <f>'Tree volume estimation'!E10</f>
        <v>12.52914798206278</v>
      </c>
      <c r="E20" s="181" t="s">
        <v>755</v>
      </c>
      <c r="F20" s="15" t="s">
        <v>659</v>
      </c>
      <c r="G20" s="236">
        <f>IF(C20="",D20,C20)</f>
        <v>12.52914798206278</v>
      </c>
      <c r="H20" s="447"/>
      <c r="I20" s="241"/>
      <c r="J20" s="254">
        <f>1.159-0.03*G20</f>
        <v>0.78312556053811666</v>
      </c>
      <c r="K20" t="s">
        <v>761</v>
      </c>
      <c r="L20" s="317" t="s">
        <v>443</v>
      </c>
      <c r="M20" s="455"/>
      <c r="X20" s="361">
        <f t="shared" ca="1" si="0"/>
        <v>8</v>
      </c>
      <c r="Y20" s="5">
        <f t="shared" ca="1" si="1"/>
        <v>4.1670869999999995</v>
      </c>
      <c r="Z20" s="660">
        <f t="shared" ca="1" si="2"/>
        <v>0.76530996058067291</v>
      </c>
      <c r="AA20" s="240">
        <f t="shared" ca="1" si="3"/>
        <v>1.9168240158774117</v>
      </c>
      <c r="AB20" s="240">
        <f t="shared" ca="1" si="4"/>
        <v>0.91213845959999984</v>
      </c>
      <c r="AC20" s="240">
        <f t="shared" ca="1" si="5"/>
        <v>1.4680623360499998</v>
      </c>
      <c r="AD20" s="663">
        <f t="shared" ca="1" si="6"/>
        <v>1.265583693027021</v>
      </c>
      <c r="BB20" s="31">
        <v>12</v>
      </c>
      <c r="BC20" s="254">
        <v>63.387988628287125</v>
      </c>
      <c r="BD20" s="441" t="s">
        <v>446</v>
      </c>
    </row>
    <row r="21" spans="1:60" x14ac:dyDescent="0.2">
      <c r="A21" s="58"/>
      <c r="B21" s="267"/>
      <c r="C21" s="219"/>
      <c r="D21" s="222"/>
      <c r="E21" s="219"/>
      <c r="F21" s="222"/>
      <c r="G21" s="250"/>
      <c r="H21" s="447"/>
      <c r="I21" s="241"/>
      <c r="J21" s="220"/>
      <c r="K21" s="219"/>
      <c r="L21" s="215"/>
      <c r="M21" s="454"/>
      <c r="X21" s="361">
        <f t="shared" ca="1" si="0"/>
        <v>24</v>
      </c>
      <c r="Y21" s="5">
        <f t="shared" ca="1" si="1"/>
        <v>1</v>
      </c>
      <c r="Z21" s="660">
        <f t="shared" ca="1" si="2"/>
        <v>0.37173643421781832</v>
      </c>
      <c r="AA21" s="240">
        <f t="shared" ca="1" si="3"/>
        <v>0.51987328178007741</v>
      </c>
      <c r="AB21" s="240">
        <f t="shared" ca="1" si="4"/>
        <v>0.37119999999999997</v>
      </c>
      <c r="AC21" s="240">
        <f t="shared" ca="1" si="5"/>
        <v>0.58396999999999999</v>
      </c>
      <c r="AD21" s="663">
        <f t="shared" ca="1" si="6"/>
        <v>0.46169492899947395</v>
      </c>
      <c r="BB21" s="31">
        <v>13</v>
      </c>
      <c r="BC21" s="254">
        <v>37.449169752261703</v>
      </c>
      <c r="BD21" s="441" t="s">
        <v>446</v>
      </c>
    </row>
    <row r="22" spans="1:60" x14ac:dyDescent="0.2">
      <c r="A22" s="58"/>
      <c r="B22" s="942" t="s">
        <v>275</v>
      </c>
      <c r="C22" s="943"/>
      <c r="D22" s="943"/>
      <c r="E22" s="943"/>
      <c r="F22" s="943"/>
      <c r="G22" s="944"/>
      <c r="H22" s="447"/>
      <c r="I22" s="1018" t="s">
        <v>369</v>
      </c>
      <c r="J22" s="1019"/>
      <c r="K22" s="1019"/>
      <c r="L22" s="1020"/>
      <c r="M22" s="454"/>
      <c r="X22" s="361">
        <f t="shared" ca="1" si="0"/>
        <v>15</v>
      </c>
      <c r="Y22" s="5">
        <f t="shared" ca="1" si="1"/>
        <v>1</v>
      </c>
      <c r="Z22" s="660">
        <f t="shared" ca="1" si="2"/>
        <v>0.37173643421781832</v>
      </c>
      <c r="AA22" s="240">
        <f t="shared" ca="1" si="3"/>
        <v>0.51987328178007741</v>
      </c>
      <c r="AB22" s="240">
        <f t="shared" ca="1" si="4"/>
        <v>0.37119999999999997</v>
      </c>
      <c r="AC22" s="240">
        <f t="shared" ca="1" si="5"/>
        <v>0.58396999999999999</v>
      </c>
      <c r="AD22" s="663">
        <f t="shared" ca="1" si="6"/>
        <v>0.46169492899947395</v>
      </c>
      <c r="BB22" s="31">
        <v>12.58</v>
      </c>
      <c r="BC22" s="254">
        <v>52.877810699999991</v>
      </c>
      <c r="BD22" s="441" t="s">
        <v>296</v>
      </c>
    </row>
    <row r="23" spans="1:60" x14ac:dyDescent="0.2">
      <c r="A23" s="58"/>
      <c r="B23" s="332" t="s">
        <v>757</v>
      </c>
      <c r="D23" s="263">
        <f>MAX(1,8.104607-0.49219*(G20))</f>
        <v>1.9378856547085199</v>
      </c>
      <c r="E23" s="473" t="s">
        <v>444</v>
      </c>
      <c r="F23" t="s">
        <v>717</v>
      </c>
      <c r="G23" s="331">
        <f>IF(C23="",D23,C23)</f>
        <v>1.9378856547085199</v>
      </c>
      <c r="H23" s="447"/>
      <c r="I23" s="229" t="s">
        <v>241</v>
      </c>
      <c r="J23" s="240">
        <f>EXP(3.6021+0.228*G23-G25)/100</f>
        <v>0.70699459597496106</v>
      </c>
      <c r="K23" t="s">
        <v>723</v>
      </c>
      <c r="L23" s="20" t="s">
        <v>445</v>
      </c>
      <c r="M23" s="58"/>
      <c r="N23" s="223"/>
      <c r="O23" s="223"/>
      <c r="P23" s="223"/>
      <c r="Q23" s="223"/>
      <c r="X23" s="361">
        <f t="shared" ca="1" si="0"/>
        <v>9</v>
      </c>
      <c r="Y23" s="5">
        <f t="shared" ca="1" si="1"/>
        <v>3.6748969999999996</v>
      </c>
      <c r="Z23" s="660">
        <f t="shared" ca="1" si="2"/>
        <v>0.68407092857537966</v>
      </c>
      <c r="AA23" s="240">
        <f t="shared" ca="1" si="3"/>
        <v>1.5650024320428637</v>
      </c>
      <c r="AB23" s="240">
        <f t="shared" ca="1" si="4"/>
        <v>0.82807240759999989</v>
      </c>
      <c r="AC23" s="240">
        <f t="shared" ca="1" si="5"/>
        <v>1.3306674975499999</v>
      </c>
      <c r="AD23" s="663">
        <f t="shared" ca="1" si="6"/>
        <v>1.101953316442061</v>
      </c>
      <c r="BB23" s="31">
        <v>8.6614173228346463</v>
      </c>
      <c r="BC23" s="254">
        <v>49.688743076923068</v>
      </c>
      <c r="BD23" s="441" t="s">
        <v>268</v>
      </c>
    </row>
    <row r="24" spans="1:60" x14ac:dyDescent="0.2">
      <c r="A24" s="58"/>
      <c r="B24" s="334" t="s">
        <v>758</v>
      </c>
      <c r="D24" s="177">
        <f>0.586094+0.06247*(G20)</f>
        <v>1.3687898744394618</v>
      </c>
      <c r="E24" s="473" t="s">
        <v>428</v>
      </c>
      <c r="F24" s="471" t="s">
        <v>283</v>
      </c>
      <c r="G24" s="331">
        <f>IF(C24="",D24,C24)</f>
        <v>1.3687898744394618</v>
      </c>
      <c r="H24" s="447"/>
      <c r="I24" s="229" t="s">
        <v>241</v>
      </c>
      <c r="J24" s="240">
        <f>EXP(3.539+0.412*G23)/100</f>
        <v>0.76509038925376682</v>
      </c>
      <c r="K24" t="s">
        <v>713</v>
      </c>
      <c r="L24" s="20" t="s">
        <v>447</v>
      </c>
      <c r="M24" s="58"/>
      <c r="N24" s="223"/>
      <c r="O24" s="223"/>
      <c r="P24" s="223"/>
      <c r="Q24" s="223"/>
      <c r="X24" s="361">
        <f t="shared" ca="1" si="0"/>
        <v>11</v>
      </c>
      <c r="Y24" s="5">
        <f t="shared" ca="1" si="1"/>
        <v>2.6905169999999998</v>
      </c>
      <c r="Z24" s="660">
        <f t="shared" ca="1" si="2"/>
        <v>0.54654845559081566</v>
      </c>
      <c r="AA24" s="240">
        <f t="shared" ca="1" si="3"/>
        <v>1.0432311982196549</v>
      </c>
      <c r="AB24" s="240">
        <f t="shared" ca="1" si="4"/>
        <v>0.65994030359999978</v>
      </c>
      <c r="AC24" s="240">
        <f t="shared" ca="1" si="5"/>
        <v>1.0558778205499999</v>
      </c>
      <c r="AD24" s="663">
        <f t="shared" ca="1" si="6"/>
        <v>0.82639944449011771</v>
      </c>
      <c r="BB24" s="31">
        <v>8.6614173228346463</v>
      </c>
      <c r="BC24" s="254">
        <v>75.296252307692299</v>
      </c>
      <c r="BD24" s="441" t="s">
        <v>268</v>
      </c>
    </row>
    <row r="25" spans="1:60" x14ac:dyDescent="0.2">
      <c r="A25" s="58"/>
      <c r="B25" s="407" t="s">
        <v>759</v>
      </c>
      <c r="D25" s="15">
        <v>-0.2145</v>
      </c>
      <c r="E25" s="234" t="s">
        <v>756</v>
      </c>
      <c r="F25" t="s">
        <v>296</v>
      </c>
      <c r="G25" s="331">
        <f>IF(C25="",D25,C25)</f>
        <v>-0.2145</v>
      </c>
      <c r="H25" s="447"/>
      <c r="I25" s="229" t="s">
        <v>241</v>
      </c>
      <c r="J25" s="240">
        <f>(20.04+17.08*G23)/100</f>
        <v>0.53139086982421513</v>
      </c>
      <c r="K25" t="s">
        <v>308</v>
      </c>
      <c r="L25" s="20" t="s">
        <v>448</v>
      </c>
      <c r="M25" s="58"/>
      <c r="N25" s="223"/>
      <c r="O25" s="223"/>
      <c r="P25" s="223"/>
      <c r="Q25" s="223"/>
      <c r="X25" s="361">
        <f t="shared" ca="1" si="0"/>
        <v>16</v>
      </c>
      <c r="Y25" s="5">
        <f t="shared" ca="1" si="1"/>
        <v>1</v>
      </c>
      <c r="Z25" s="660">
        <f t="shared" ca="1" si="2"/>
        <v>0.37173643421781832</v>
      </c>
      <c r="AA25" s="240">
        <f t="shared" ca="1" si="3"/>
        <v>0.51987328178007741</v>
      </c>
      <c r="AB25" s="240">
        <f t="shared" ca="1" si="4"/>
        <v>0.37119999999999997</v>
      </c>
      <c r="AC25" s="240">
        <f t="shared" ca="1" si="5"/>
        <v>0.58396999999999999</v>
      </c>
      <c r="AD25" s="663">
        <f t="shared" ca="1" si="6"/>
        <v>0.46169492899947395</v>
      </c>
      <c r="BB25" s="31">
        <v>8.2677165354330704</v>
      </c>
      <c r="BC25" s="254">
        <v>38.326470769230774</v>
      </c>
      <c r="BD25" s="441" t="s">
        <v>268</v>
      </c>
    </row>
    <row r="26" spans="1:60" x14ac:dyDescent="0.2">
      <c r="A26" s="58"/>
      <c r="B26" s="11"/>
      <c r="G26" s="280"/>
      <c r="H26" s="447"/>
      <c r="I26" s="229" t="s">
        <v>242</v>
      </c>
      <c r="J26" s="240">
        <f>(30.482+27.915*G23)/100</f>
        <v>0.84578078051188332</v>
      </c>
      <c r="K26" t="s">
        <v>713</v>
      </c>
      <c r="L26" s="20" t="s">
        <v>450</v>
      </c>
      <c r="M26" s="58"/>
      <c r="N26" s="223"/>
      <c r="O26" s="223"/>
      <c r="P26" s="223"/>
      <c r="Q26" s="223"/>
      <c r="X26" s="361">
        <f t="shared" ca="1" si="0"/>
        <v>28</v>
      </c>
      <c r="Y26" s="5">
        <f t="shared" ca="1" si="1"/>
        <v>1</v>
      </c>
      <c r="Z26" s="660">
        <f t="shared" ca="1" si="2"/>
        <v>0.37173643421781832</v>
      </c>
      <c r="AA26" s="240">
        <f t="shared" ca="1" si="3"/>
        <v>0.51987328178007741</v>
      </c>
      <c r="AB26" s="240">
        <f t="shared" ca="1" si="4"/>
        <v>0.37119999999999997</v>
      </c>
      <c r="AC26" s="240">
        <f t="shared" ca="1" si="5"/>
        <v>0.58396999999999999</v>
      </c>
      <c r="AD26" s="663">
        <f t="shared" ca="1" si="6"/>
        <v>0.46169492899947395</v>
      </c>
      <c r="BB26" s="31">
        <v>8.6614173228346463</v>
      </c>
      <c r="BC26" s="254">
        <v>42.566124615384609</v>
      </c>
      <c r="BD26" s="441" t="s">
        <v>268</v>
      </c>
    </row>
    <row r="27" spans="1:60" ht="16" thickBot="1" x14ac:dyDescent="0.25">
      <c r="A27" s="58"/>
      <c r="B27" s="13"/>
      <c r="C27" s="1"/>
      <c r="D27" s="1"/>
      <c r="E27" s="1"/>
      <c r="F27" s="1"/>
      <c r="G27" s="14"/>
      <c r="H27" s="447"/>
      <c r="I27" s="13"/>
      <c r="J27" s="1"/>
      <c r="K27" s="1"/>
      <c r="L27" s="14"/>
      <c r="M27" s="58"/>
      <c r="N27" s="223"/>
      <c r="O27" s="223"/>
      <c r="P27" s="223"/>
      <c r="Q27" s="223"/>
      <c r="X27" s="361">
        <f t="shared" ca="1" si="0"/>
        <v>17</v>
      </c>
      <c r="Y27" s="5">
        <f t="shared" ca="1" si="1"/>
        <v>1</v>
      </c>
      <c r="Z27" s="660">
        <f t="shared" ca="1" si="2"/>
        <v>0.37173643421781832</v>
      </c>
      <c r="AA27" s="240">
        <f t="shared" ca="1" si="3"/>
        <v>0.51987328178007741</v>
      </c>
      <c r="AB27" s="240">
        <f t="shared" ca="1" si="4"/>
        <v>0.37119999999999997</v>
      </c>
      <c r="AC27" s="240">
        <f t="shared" ca="1" si="5"/>
        <v>0.58396999999999999</v>
      </c>
      <c r="AD27" s="663">
        <f t="shared" ca="1" si="6"/>
        <v>0.46169492899947395</v>
      </c>
      <c r="BB27" s="31">
        <v>11.889763779527559</v>
      </c>
      <c r="BC27" s="254">
        <v>50.397613199999995</v>
      </c>
      <c r="BD27" s="441" t="s">
        <v>272</v>
      </c>
    </row>
    <row r="28" spans="1:60" ht="16" thickBot="1" x14ac:dyDescent="0.25">
      <c r="A28" s="58"/>
      <c r="B28" s="58"/>
      <c r="C28" s="58"/>
      <c r="D28" s="58"/>
      <c r="E28" s="58"/>
      <c r="F28" s="58"/>
      <c r="G28" s="58"/>
      <c r="H28" s="447"/>
      <c r="I28" s="58"/>
      <c r="J28" s="58"/>
      <c r="K28" s="58"/>
      <c r="L28" s="58"/>
      <c r="M28" s="58"/>
      <c r="N28" s="223"/>
      <c r="O28" s="223"/>
      <c r="P28" s="223"/>
      <c r="Q28" s="223"/>
      <c r="X28" s="361">
        <f t="shared" ca="1" si="0"/>
        <v>10</v>
      </c>
      <c r="Y28" s="5">
        <f t="shared" ca="1" si="1"/>
        <v>3.1827069999999997</v>
      </c>
      <c r="Z28" s="660">
        <f t="shared" ca="1" si="2"/>
        <v>0.61145556627399278</v>
      </c>
      <c r="AA28" s="240">
        <f t="shared" ca="1" si="3"/>
        <v>1.2777555957211661</v>
      </c>
      <c r="AB28" s="240">
        <f t="shared" ca="1" si="4"/>
        <v>0.74400635559999984</v>
      </c>
      <c r="AC28" s="240">
        <f t="shared" ca="1" si="5"/>
        <v>1.1932726590499998</v>
      </c>
      <c r="AD28" s="663">
        <f t="shared" ca="1" si="6"/>
        <v>0.95662254416128967</v>
      </c>
      <c r="BB28" s="31">
        <v>14.803149606299213</v>
      </c>
      <c r="BC28" s="254">
        <v>49.482695899999996</v>
      </c>
      <c r="BD28" s="441" t="s">
        <v>272</v>
      </c>
    </row>
    <row r="29" spans="1:60" ht="24" x14ac:dyDescent="0.3">
      <c r="A29" s="58"/>
      <c r="B29" s="939" t="s">
        <v>812</v>
      </c>
      <c r="C29" s="940"/>
      <c r="D29" s="940"/>
      <c r="E29" s="940"/>
      <c r="F29" s="940"/>
      <c r="G29" s="941"/>
      <c r="H29" s="447"/>
      <c r="I29" s="939" t="s">
        <v>811</v>
      </c>
      <c r="J29" s="940"/>
      <c r="K29" s="940"/>
      <c r="L29" s="941"/>
      <c r="M29" s="453"/>
      <c r="N29" s="223"/>
      <c r="O29" s="223"/>
      <c r="P29" s="223"/>
      <c r="Q29" s="223"/>
      <c r="X29" s="361">
        <f t="shared" ca="1" si="0"/>
        <v>14</v>
      </c>
      <c r="Y29" s="5">
        <f t="shared" ca="1" si="1"/>
        <v>1.2139469999999992</v>
      </c>
      <c r="Z29" s="660">
        <f t="shared" ca="1" si="2"/>
        <v>0.39031925585034588</v>
      </c>
      <c r="AA29" s="240">
        <f t="shared" ca="1" si="3"/>
        <v>0.56777843136561523</v>
      </c>
      <c r="AB29" s="240">
        <f t="shared" ca="1" si="4"/>
        <v>0.40774214759999983</v>
      </c>
      <c r="AC29" s="240">
        <f t="shared" ca="1" si="5"/>
        <v>0.64369330504999978</v>
      </c>
      <c r="AD29" s="663">
        <f t="shared" ca="1" si="6"/>
        <v>0.50238328496649021</v>
      </c>
      <c r="AV29" s="314"/>
      <c r="AW29" s="314"/>
      <c r="BB29" s="31">
        <v>10.401574803149607</v>
      </c>
      <c r="BC29" s="254">
        <v>25.187783499999998</v>
      </c>
      <c r="BD29" s="441" t="s">
        <v>453</v>
      </c>
    </row>
    <row r="30" spans="1:60" x14ac:dyDescent="0.2">
      <c r="A30" s="58"/>
      <c r="B30" s="267" t="s">
        <v>259</v>
      </c>
      <c r="C30" s="219" t="s">
        <v>166</v>
      </c>
      <c r="D30" s="222" t="s">
        <v>260</v>
      </c>
      <c r="E30" s="219" t="s">
        <v>261</v>
      </c>
      <c r="F30" s="222" t="s">
        <v>262</v>
      </c>
      <c r="G30" s="250" t="s">
        <v>263</v>
      </c>
      <c r="H30" s="447"/>
      <c r="I30" s="241" t="s">
        <v>130</v>
      </c>
      <c r="J30" s="220" t="s">
        <v>238</v>
      </c>
      <c r="K30" s="219" t="s">
        <v>688</v>
      </c>
      <c r="L30" s="215" t="s">
        <v>612</v>
      </c>
      <c r="M30" s="454"/>
      <c r="N30" s="223"/>
      <c r="O30" s="223"/>
      <c r="P30" s="223"/>
      <c r="Q30" s="223"/>
      <c r="X30" s="361">
        <f t="shared" ca="1" si="0"/>
        <v>11</v>
      </c>
      <c r="Y30" s="5">
        <f t="shared" ca="1" si="1"/>
        <v>2.6905169999999998</v>
      </c>
      <c r="Z30" s="660">
        <f t="shared" ca="1" si="2"/>
        <v>0.54654845559081566</v>
      </c>
      <c r="AA30" s="240">
        <f t="shared" ca="1" si="3"/>
        <v>1.0432311982196549</v>
      </c>
      <c r="AB30" s="240">
        <f t="shared" ca="1" si="4"/>
        <v>0.65994030359999978</v>
      </c>
      <c r="AC30" s="240">
        <f t="shared" ca="1" si="5"/>
        <v>1.0558778205499999</v>
      </c>
      <c r="AD30" s="663">
        <f t="shared" ca="1" si="6"/>
        <v>0.82639944449011771</v>
      </c>
      <c r="AV30" s="314"/>
      <c r="AW30" s="314"/>
      <c r="BB30" s="31">
        <v>10.5</v>
      </c>
      <c r="BC30" s="254">
        <v>32.904776119402982</v>
      </c>
      <c r="BD30" s="441" t="s">
        <v>454</v>
      </c>
    </row>
    <row r="31" spans="1:60" ht="16" thickBot="1" x14ac:dyDescent="0.25">
      <c r="A31" s="58"/>
      <c r="B31" s="232" t="s">
        <v>783</v>
      </c>
      <c r="C31" s="326"/>
      <c r="D31" s="324">
        <f>'Tree volume estimation'!E10</f>
        <v>12.52914798206278</v>
      </c>
      <c r="E31" s="327" t="s">
        <v>760</v>
      </c>
      <c r="F31" s="214" t="s">
        <v>659</v>
      </c>
      <c r="G31" s="322">
        <f>IF(C31="",D31,C31)</f>
        <v>12.52914798206278</v>
      </c>
      <c r="H31" s="447"/>
      <c r="I31" s="323"/>
      <c r="J31" s="324">
        <f>6.6036*(G31)-16.161</f>
        <v>66.576481614349774</v>
      </c>
      <c r="K31" s="1" t="s">
        <v>761</v>
      </c>
      <c r="L31" s="53" t="s">
        <v>827</v>
      </c>
      <c r="M31" s="58"/>
      <c r="N31" s="223"/>
      <c r="O31" s="223"/>
      <c r="P31" s="223"/>
      <c r="Q31" s="223"/>
      <c r="X31" s="361">
        <f t="shared" ca="1" si="0"/>
        <v>20</v>
      </c>
      <c r="Y31" s="5">
        <f t="shared" ca="1" si="1"/>
        <v>1</v>
      </c>
      <c r="Z31" s="660">
        <f t="shared" ca="1" si="2"/>
        <v>0.37173643421781832</v>
      </c>
      <c r="AA31" s="240">
        <f t="shared" ca="1" si="3"/>
        <v>0.51987328178007741</v>
      </c>
      <c r="AB31" s="240">
        <f t="shared" ca="1" si="4"/>
        <v>0.37119999999999997</v>
      </c>
      <c r="AC31" s="240">
        <f t="shared" ca="1" si="5"/>
        <v>0.58396999999999999</v>
      </c>
      <c r="AD31" s="663">
        <f t="shared" ca="1" si="6"/>
        <v>0.46169492899947395</v>
      </c>
      <c r="AV31" s="314"/>
      <c r="AW31" s="314"/>
      <c r="BG31" s="314"/>
      <c r="BH31" s="314"/>
    </row>
    <row r="32" spans="1:60" x14ac:dyDescent="0.2">
      <c r="A32" s="58"/>
      <c r="B32" s="58"/>
      <c r="C32" s="58"/>
      <c r="D32" s="58"/>
      <c r="E32" s="58"/>
      <c r="F32" s="58"/>
      <c r="G32" s="58"/>
      <c r="H32" s="447"/>
      <c r="I32" s="58"/>
      <c r="J32" s="58"/>
      <c r="K32" s="58"/>
      <c r="L32" s="58"/>
      <c r="M32" s="58"/>
      <c r="N32" s="223"/>
      <c r="O32" s="223"/>
      <c r="P32" s="223"/>
      <c r="Q32" s="223"/>
      <c r="X32" s="361">
        <f t="shared" ca="1" si="0"/>
        <v>9</v>
      </c>
      <c r="Y32" s="5">
        <f t="shared" ca="1" si="1"/>
        <v>3.6748969999999996</v>
      </c>
      <c r="Z32" s="660">
        <f t="shared" ca="1" si="2"/>
        <v>0.68407092857537966</v>
      </c>
      <c r="AA32" s="240">
        <f t="shared" ca="1" si="3"/>
        <v>1.5650024320428637</v>
      </c>
      <c r="AB32" s="240">
        <f t="shared" ca="1" si="4"/>
        <v>0.82807240759999989</v>
      </c>
      <c r="AC32" s="240">
        <f t="shared" ca="1" si="5"/>
        <v>1.3306674975499999</v>
      </c>
      <c r="AD32" s="663">
        <f t="shared" ca="1" si="6"/>
        <v>1.101953316442061</v>
      </c>
      <c r="AV32" s="314"/>
      <c r="AW32" s="314"/>
    </row>
    <row r="33" spans="1:67" x14ac:dyDescent="0.2">
      <c r="A33" s="58"/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223"/>
      <c r="O33" s="223"/>
      <c r="P33" s="223"/>
      <c r="Q33" s="223"/>
      <c r="X33" s="361">
        <f t="shared" ca="1" si="0"/>
        <v>24</v>
      </c>
      <c r="Y33" s="5">
        <f t="shared" ca="1" si="1"/>
        <v>1</v>
      </c>
      <c r="Z33" s="660">
        <f t="shared" ca="1" si="2"/>
        <v>0.37173643421781832</v>
      </c>
      <c r="AA33" s="240">
        <f t="shared" ca="1" si="3"/>
        <v>0.51987328178007741</v>
      </c>
      <c r="AB33" s="240">
        <f t="shared" ca="1" si="4"/>
        <v>0.37119999999999997</v>
      </c>
      <c r="AC33" s="240">
        <f t="shared" ca="1" si="5"/>
        <v>0.58396999999999999</v>
      </c>
      <c r="AD33" s="663">
        <f t="shared" ca="1" si="6"/>
        <v>0.46169492899947395</v>
      </c>
      <c r="AV33" s="314"/>
      <c r="AW33" s="314"/>
    </row>
    <row r="34" spans="1:67" x14ac:dyDescent="0.2">
      <c r="N34" s="223"/>
      <c r="O34" s="223"/>
      <c r="P34" s="223"/>
      <c r="Q34" s="223"/>
      <c r="X34" s="361">
        <f t="shared" ca="1" si="0"/>
        <v>19</v>
      </c>
      <c r="Y34" s="5">
        <f t="shared" ca="1" si="1"/>
        <v>1</v>
      </c>
      <c r="Z34" s="660">
        <f t="shared" ca="1" si="2"/>
        <v>0.37173643421781832</v>
      </c>
      <c r="AA34" s="240">
        <f t="shared" ca="1" si="3"/>
        <v>0.51987328178007741</v>
      </c>
      <c r="AB34" s="240">
        <f t="shared" ca="1" si="4"/>
        <v>0.37119999999999997</v>
      </c>
      <c r="AC34" s="240">
        <f t="shared" ca="1" si="5"/>
        <v>0.58396999999999999</v>
      </c>
      <c r="AD34" s="663">
        <f t="shared" ca="1" si="6"/>
        <v>0.46169492899947395</v>
      </c>
      <c r="AV34" s="314"/>
      <c r="AW34" s="314"/>
    </row>
    <row r="35" spans="1:67" x14ac:dyDescent="0.2">
      <c r="N35" s="223"/>
      <c r="O35" s="223"/>
      <c r="P35" s="223"/>
      <c r="Q35" s="223"/>
      <c r="X35" s="361">
        <f t="shared" ca="1" si="0"/>
        <v>10</v>
      </c>
      <c r="Y35" s="5">
        <f t="shared" ca="1" si="1"/>
        <v>3.1827069999999997</v>
      </c>
      <c r="Z35" s="660">
        <f t="shared" ca="1" si="2"/>
        <v>0.61145556627399278</v>
      </c>
      <c r="AA35" s="240">
        <f t="shared" ca="1" si="3"/>
        <v>1.2777555957211661</v>
      </c>
      <c r="AB35" s="240">
        <f t="shared" ca="1" si="4"/>
        <v>0.74400635559999984</v>
      </c>
      <c r="AC35" s="240">
        <f t="shared" ca="1" si="5"/>
        <v>1.1932726590499998</v>
      </c>
      <c r="AD35" s="663">
        <f t="shared" ca="1" si="6"/>
        <v>0.95662254416128967</v>
      </c>
      <c r="AV35" s="314"/>
      <c r="AW35" s="314"/>
    </row>
    <row r="36" spans="1:67" x14ac:dyDescent="0.2">
      <c r="N36" s="223"/>
      <c r="O36" s="223"/>
      <c r="P36" s="223"/>
      <c r="Q36" s="223"/>
      <c r="X36" s="361">
        <f t="shared" ca="1" si="0"/>
        <v>27</v>
      </c>
      <c r="Y36" s="5">
        <f t="shared" ca="1" si="1"/>
        <v>1</v>
      </c>
      <c r="Z36" s="660">
        <f t="shared" ca="1" si="2"/>
        <v>0.37173643421781832</v>
      </c>
      <c r="AA36" s="240">
        <f t="shared" ca="1" si="3"/>
        <v>0.51987328178007741</v>
      </c>
      <c r="AB36" s="240">
        <f t="shared" ca="1" si="4"/>
        <v>0.37119999999999997</v>
      </c>
      <c r="AC36" s="240">
        <f t="shared" ca="1" si="5"/>
        <v>0.58396999999999999</v>
      </c>
      <c r="AD36" s="663">
        <f t="shared" ca="1" si="6"/>
        <v>0.46169492899947395</v>
      </c>
    </row>
    <row r="37" spans="1:67" x14ac:dyDescent="0.2">
      <c r="N37" s="223"/>
      <c r="O37" s="223"/>
      <c r="P37" s="223"/>
      <c r="Q37" s="223"/>
      <c r="X37" s="361">
        <f t="shared" ca="1" si="0"/>
        <v>16</v>
      </c>
      <c r="Y37" s="5">
        <f t="shared" ca="1" si="1"/>
        <v>1</v>
      </c>
      <c r="Z37" s="660">
        <f t="shared" ca="1" si="2"/>
        <v>0.37173643421781832</v>
      </c>
      <c r="AA37" s="240">
        <f t="shared" ca="1" si="3"/>
        <v>0.51987328178007741</v>
      </c>
      <c r="AB37" s="240">
        <f t="shared" ca="1" si="4"/>
        <v>0.37119999999999997</v>
      </c>
      <c r="AC37" s="240">
        <f t="shared" ca="1" si="5"/>
        <v>0.58396999999999999</v>
      </c>
      <c r="AD37" s="663">
        <f t="shared" ca="1" si="6"/>
        <v>0.46169492899947395</v>
      </c>
      <c r="AV37" s="315"/>
      <c r="AW37" s="315"/>
    </row>
    <row r="38" spans="1:67" x14ac:dyDescent="0.2">
      <c r="N38" s="223"/>
      <c r="O38" s="223"/>
      <c r="P38" s="223"/>
      <c r="Q38" s="223"/>
      <c r="X38" s="361">
        <f t="shared" ca="1" si="0"/>
        <v>10</v>
      </c>
      <c r="Y38" s="5">
        <f t="shared" ca="1" si="1"/>
        <v>3.1827069999999997</v>
      </c>
      <c r="Z38" s="660">
        <f t="shared" ca="1" si="2"/>
        <v>0.61145556627399278</v>
      </c>
      <c r="AA38" s="240">
        <f t="shared" ca="1" si="3"/>
        <v>1.2777555957211661</v>
      </c>
      <c r="AB38" s="240">
        <f t="shared" ca="1" si="4"/>
        <v>0.74400635559999984</v>
      </c>
      <c r="AC38" s="240">
        <f t="shared" ca="1" si="5"/>
        <v>1.1932726590499998</v>
      </c>
      <c r="AD38" s="663">
        <f t="shared" ca="1" si="6"/>
        <v>0.95662254416128967</v>
      </c>
    </row>
    <row r="39" spans="1:67" x14ac:dyDescent="0.2">
      <c r="N39" s="223"/>
      <c r="O39" s="223"/>
      <c r="P39" s="223"/>
      <c r="Q39" s="223"/>
      <c r="X39" s="361">
        <f t="shared" ca="1" si="0"/>
        <v>22</v>
      </c>
      <c r="Y39" s="5">
        <f t="shared" ca="1" si="1"/>
        <v>1</v>
      </c>
      <c r="Z39" s="660">
        <f t="shared" ca="1" si="2"/>
        <v>0.37173643421781832</v>
      </c>
      <c r="AA39" s="240">
        <f t="shared" ca="1" si="3"/>
        <v>0.51987328178007741</v>
      </c>
      <c r="AB39" s="240">
        <f t="shared" ca="1" si="4"/>
        <v>0.37119999999999997</v>
      </c>
      <c r="AC39" s="240">
        <f t="shared" ca="1" si="5"/>
        <v>0.58396999999999999</v>
      </c>
      <c r="AD39" s="663">
        <f t="shared" ca="1" si="6"/>
        <v>0.46169492899947395</v>
      </c>
      <c r="BB39" s="31"/>
      <c r="BC39" s="325">
        <v>47.068636999999995</v>
      </c>
      <c r="BD39" s="441" t="s">
        <v>455</v>
      </c>
      <c r="BG39" s="315"/>
      <c r="BH39" s="315"/>
      <c r="BI39" s="315"/>
      <c r="BJ39" s="315"/>
      <c r="BK39" s="315"/>
      <c r="BL39" s="315"/>
    </row>
    <row r="40" spans="1:67" x14ac:dyDescent="0.2">
      <c r="N40" s="223"/>
      <c r="O40" s="223"/>
      <c r="P40" s="223"/>
      <c r="Q40" s="223"/>
      <c r="X40" s="361">
        <f t="shared" ca="1" si="0"/>
        <v>21</v>
      </c>
      <c r="Y40" s="5">
        <f t="shared" ca="1" si="1"/>
        <v>1</v>
      </c>
      <c r="Z40" s="660">
        <f t="shared" ca="1" si="2"/>
        <v>0.37173643421781832</v>
      </c>
      <c r="AA40" s="240">
        <f t="shared" ca="1" si="3"/>
        <v>0.51987328178007741</v>
      </c>
      <c r="AB40" s="240">
        <f t="shared" ca="1" si="4"/>
        <v>0.37119999999999997</v>
      </c>
      <c r="AC40" s="240">
        <f t="shared" ca="1" si="5"/>
        <v>0.58396999999999999</v>
      </c>
      <c r="AD40" s="663">
        <f t="shared" ca="1" si="6"/>
        <v>0.46169492899947395</v>
      </c>
      <c r="BB40" s="31"/>
      <c r="BD40" s="442"/>
    </row>
    <row r="41" spans="1:67" x14ac:dyDescent="0.2">
      <c r="N41" s="223"/>
      <c r="O41" s="223"/>
      <c r="P41" s="223"/>
      <c r="Q41" s="223"/>
      <c r="X41" s="361">
        <f t="shared" ca="1" si="0"/>
        <v>30</v>
      </c>
      <c r="Y41" s="5">
        <f t="shared" ca="1" si="1"/>
        <v>1</v>
      </c>
      <c r="Z41" s="660">
        <f t="shared" ca="1" si="2"/>
        <v>0.37173643421781832</v>
      </c>
      <c r="AA41" s="240">
        <f t="shared" ca="1" si="3"/>
        <v>0.51987328178007741</v>
      </c>
      <c r="AB41" s="240">
        <f t="shared" ca="1" si="4"/>
        <v>0.37119999999999997</v>
      </c>
      <c r="AC41" s="240">
        <f t="shared" ca="1" si="5"/>
        <v>0.58396999999999999</v>
      </c>
      <c r="AD41" s="663">
        <f t="shared" ca="1" si="6"/>
        <v>0.46169492899947395</v>
      </c>
      <c r="BB41" s="31">
        <v>2.7598425196850394</v>
      </c>
      <c r="BC41" s="254">
        <v>83.764536899999982</v>
      </c>
      <c r="BD41" s="441" t="s">
        <v>292</v>
      </c>
    </row>
    <row r="42" spans="1:67" x14ac:dyDescent="0.2">
      <c r="N42" s="223"/>
      <c r="O42" s="223"/>
      <c r="P42" s="223"/>
      <c r="Q42" s="223"/>
      <c r="X42" s="361">
        <f t="shared" ca="1" si="0"/>
        <v>28</v>
      </c>
      <c r="Y42" s="5">
        <f t="shared" ca="1" si="1"/>
        <v>1</v>
      </c>
      <c r="Z42" s="660">
        <f t="shared" ca="1" si="2"/>
        <v>0.37173643421781832</v>
      </c>
      <c r="AA42" s="240">
        <f t="shared" ca="1" si="3"/>
        <v>0.51987328178007741</v>
      </c>
      <c r="AB42" s="240">
        <f t="shared" ca="1" si="4"/>
        <v>0.37119999999999997</v>
      </c>
      <c r="AC42" s="240">
        <f t="shared" ca="1" si="5"/>
        <v>0.58396999999999999</v>
      </c>
      <c r="AD42" s="663">
        <f t="shared" ca="1" si="6"/>
        <v>0.46169492899947395</v>
      </c>
      <c r="AV42" s="315"/>
      <c r="AW42" s="315"/>
      <c r="BB42" s="31">
        <v>2.606299212598425</v>
      </c>
      <c r="BC42" s="254">
        <v>42.626327699999997</v>
      </c>
      <c r="BD42" s="441" t="s">
        <v>292</v>
      </c>
    </row>
    <row r="43" spans="1:67" x14ac:dyDescent="0.2">
      <c r="N43" s="223"/>
      <c r="O43" s="223"/>
      <c r="P43" s="223"/>
      <c r="Q43" s="223"/>
      <c r="X43" s="361">
        <f t="shared" ca="1" si="0"/>
        <v>23</v>
      </c>
      <c r="Y43" s="5">
        <f t="shared" ca="1" si="1"/>
        <v>1</v>
      </c>
      <c r="Z43" s="660">
        <f t="shared" ca="1" si="2"/>
        <v>0.37173643421781832</v>
      </c>
      <c r="AA43" s="240">
        <f t="shared" ca="1" si="3"/>
        <v>0.51987328178007741</v>
      </c>
      <c r="AB43" s="240">
        <f t="shared" ca="1" si="4"/>
        <v>0.37119999999999997</v>
      </c>
      <c r="AC43" s="240">
        <f t="shared" ca="1" si="5"/>
        <v>0.58396999999999999</v>
      </c>
      <c r="AD43" s="663">
        <f t="shared" ca="1" si="6"/>
        <v>0.46169492899947395</v>
      </c>
      <c r="BB43" s="31">
        <v>1.6023622047244095</v>
      </c>
      <c r="BC43" s="254">
        <v>37.599794099999997</v>
      </c>
      <c r="BD43" s="441" t="s">
        <v>292</v>
      </c>
    </row>
    <row r="44" spans="1:67" x14ac:dyDescent="0.2">
      <c r="N44" s="223"/>
      <c r="O44" s="223"/>
      <c r="P44" s="223"/>
      <c r="Q44" s="223"/>
      <c r="X44" s="361">
        <f t="shared" ca="1" si="0"/>
        <v>9</v>
      </c>
      <c r="Y44" s="5">
        <f t="shared" ca="1" si="1"/>
        <v>3.6748969999999996</v>
      </c>
      <c r="Z44" s="660">
        <f t="shared" ca="1" si="2"/>
        <v>0.68407092857537966</v>
      </c>
      <c r="AA44" s="240">
        <f t="shared" ca="1" si="3"/>
        <v>1.5650024320428637</v>
      </c>
      <c r="AB44" s="240">
        <f t="shared" ca="1" si="4"/>
        <v>0.82807240759999989</v>
      </c>
      <c r="AC44" s="240">
        <f t="shared" ca="1" si="5"/>
        <v>1.3306674975499999</v>
      </c>
      <c r="AD44" s="663">
        <f t="shared" ca="1" si="6"/>
        <v>1.101953316442061</v>
      </c>
      <c r="BB44" s="31">
        <v>1.4173228346456692</v>
      </c>
      <c r="BC44" s="254">
        <v>51.191276399999992</v>
      </c>
      <c r="BD44" s="441" t="s">
        <v>292</v>
      </c>
      <c r="BG44" s="315"/>
      <c r="BH44" s="315"/>
      <c r="BI44" s="315"/>
      <c r="BJ44" s="315"/>
      <c r="BK44" s="315"/>
      <c r="BL44" s="315"/>
      <c r="BM44" s="315"/>
      <c r="BN44" s="315"/>
      <c r="BO44" s="315"/>
    </row>
    <row r="45" spans="1:67" x14ac:dyDescent="0.2">
      <c r="N45" s="223"/>
      <c r="O45" s="223"/>
      <c r="P45" s="223"/>
      <c r="Q45" s="223"/>
      <c r="X45" s="361">
        <f t="shared" ca="1" si="0"/>
        <v>25</v>
      </c>
      <c r="Y45" s="5">
        <f t="shared" ca="1" si="1"/>
        <v>1</v>
      </c>
      <c r="Z45" s="660">
        <f t="shared" ca="1" si="2"/>
        <v>0.37173643421781832</v>
      </c>
      <c r="AA45" s="240">
        <f t="shared" ca="1" si="3"/>
        <v>0.51987328178007741</v>
      </c>
      <c r="AB45" s="240">
        <f t="shared" ca="1" si="4"/>
        <v>0.37119999999999997</v>
      </c>
      <c r="AC45" s="240">
        <f t="shared" ca="1" si="5"/>
        <v>0.58396999999999999</v>
      </c>
      <c r="AD45" s="663">
        <f t="shared" ca="1" si="6"/>
        <v>0.46169492899947395</v>
      </c>
      <c r="BB45" s="31"/>
      <c r="BC45" s="254">
        <v>23.721711199999998</v>
      </c>
      <c r="BD45" s="441" t="s">
        <v>456</v>
      </c>
    </row>
    <row r="46" spans="1:67" x14ac:dyDescent="0.2">
      <c r="N46" s="223"/>
      <c r="O46" s="223"/>
      <c r="P46" s="223"/>
      <c r="Q46" s="223"/>
      <c r="X46" s="361">
        <f t="shared" ca="1" si="0"/>
        <v>24</v>
      </c>
      <c r="Y46" s="5">
        <f t="shared" ca="1" si="1"/>
        <v>1</v>
      </c>
      <c r="Z46" s="660">
        <f t="shared" ca="1" si="2"/>
        <v>0.37173643421781832</v>
      </c>
      <c r="AA46" s="240">
        <f t="shared" ca="1" si="3"/>
        <v>0.51987328178007741</v>
      </c>
      <c r="AB46" s="240">
        <f t="shared" ca="1" si="4"/>
        <v>0.37119999999999997</v>
      </c>
      <c r="AC46" s="240">
        <f t="shared" ca="1" si="5"/>
        <v>0.58396999999999999</v>
      </c>
      <c r="AD46" s="663">
        <f t="shared" ca="1" si="6"/>
        <v>0.46169492899947395</v>
      </c>
      <c r="BB46" s="31">
        <v>4.7007874015748028</v>
      </c>
      <c r="BC46" s="254">
        <v>65.157544099999996</v>
      </c>
      <c r="BD46" s="441" t="s">
        <v>296</v>
      </c>
    </row>
    <row r="47" spans="1:67" x14ac:dyDescent="0.2">
      <c r="N47" s="223"/>
      <c r="O47" s="223"/>
      <c r="P47" s="223"/>
      <c r="Q47" s="223"/>
      <c r="X47" s="361">
        <f t="shared" ca="1" si="0"/>
        <v>10</v>
      </c>
      <c r="Y47" s="5">
        <f t="shared" ca="1" si="1"/>
        <v>3.1827069999999997</v>
      </c>
      <c r="Z47" s="660">
        <f t="shared" ca="1" si="2"/>
        <v>0.61145556627399278</v>
      </c>
      <c r="AA47" s="240">
        <f t="shared" ca="1" si="3"/>
        <v>1.2777555957211661</v>
      </c>
      <c r="AB47" s="240">
        <f t="shared" ca="1" si="4"/>
        <v>0.74400635559999984</v>
      </c>
      <c r="AC47" s="240">
        <f t="shared" ca="1" si="5"/>
        <v>1.1932726590499998</v>
      </c>
      <c r="AD47" s="663">
        <f t="shared" ca="1" si="6"/>
        <v>0.95662254416128967</v>
      </c>
    </row>
    <row r="48" spans="1:67" x14ac:dyDescent="0.2">
      <c r="X48" s="361">
        <f t="shared" ca="1" si="0"/>
        <v>27</v>
      </c>
      <c r="Y48" s="5">
        <f t="shared" ca="1" si="1"/>
        <v>1</v>
      </c>
      <c r="Z48" s="660">
        <f t="shared" ca="1" si="2"/>
        <v>0.37173643421781832</v>
      </c>
      <c r="AA48" s="240">
        <f t="shared" ca="1" si="3"/>
        <v>0.51987328178007741</v>
      </c>
      <c r="AB48" s="240">
        <f t="shared" ca="1" si="4"/>
        <v>0.37119999999999997</v>
      </c>
      <c r="AC48" s="240">
        <f t="shared" ca="1" si="5"/>
        <v>0.58396999999999999</v>
      </c>
      <c r="AD48" s="663">
        <f t="shared" ca="1" si="6"/>
        <v>0.46169492899947395</v>
      </c>
    </row>
    <row r="49" spans="24:30" x14ac:dyDescent="0.2">
      <c r="X49" s="361">
        <f t="shared" ca="1" si="0"/>
        <v>9</v>
      </c>
      <c r="Y49" s="5">
        <f t="shared" ca="1" si="1"/>
        <v>3.6748969999999996</v>
      </c>
      <c r="Z49" s="660">
        <f t="shared" ca="1" si="2"/>
        <v>0.68407092857537966</v>
      </c>
      <c r="AA49" s="240">
        <f t="shared" ca="1" si="3"/>
        <v>1.5650024320428637</v>
      </c>
      <c r="AB49" s="240">
        <f t="shared" ca="1" si="4"/>
        <v>0.82807240759999989</v>
      </c>
      <c r="AC49" s="240">
        <f t="shared" ca="1" si="5"/>
        <v>1.3306674975499999</v>
      </c>
      <c r="AD49" s="663">
        <f t="shared" ca="1" si="6"/>
        <v>1.101953316442061</v>
      </c>
    </row>
    <row r="50" spans="24:30" x14ac:dyDescent="0.2">
      <c r="X50" s="361">
        <f t="shared" ca="1" si="0"/>
        <v>15</v>
      </c>
      <c r="Y50" s="5">
        <f t="shared" ca="1" si="1"/>
        <v>1</v>
      </c>
      <c r="Z50" s="660">
        <f t="shared" ca="1" si="2"/>
        <v>0.37173643421781832</v>
      </c>
      <c r="AA50" s="240">
        <f t="shared" ca="1" si="3"/>
        <v>0.51987328178007741</v>
      </c>
      <c r="AB50" s="240">
        <f t="shared" ca="1" si="4"/>
        <v>0.37119999999999997</v>
      </c>
      <c r="AC50" s="240">
        <f t="shared" ca="1" si="5"/>
        <v>0.58396999999999999</v>
      </c>
      <c r="AD50" s="663">
        <f t="shared" ca="1" si="6"/>
        <v>0.46169492899947395</v>
      </c>
    </row>
    <row r="51" spans="24:30" x14ac:dyDescent="0.2">
      <c r="X51" s="361">
        <f t="shared" ca="1" si="0"/>
        <v>17</v>
      </c>
      <c r="Y51" s="5">
        <f t="shared" ca="1" si="1"/>
        <v>1</v>
      </c>
      <c r="Z51" s="660">
        <f t="shared" ca="1" si="2"/>
        <v>0.37173643421781832</v>
      </c>
      <c r="AA51" s="240">
        <f t="shared" ca="1" si="3"/>
        <v>0.51987328178007741</v>
      </c>
      <c r="AB51" s="240">
        <f t="shared" ca="1" si="4"/>
        <v>0.37119999999999997</v>
      </c>
      <c r="AC51" s="240">
        <f t="shared" ca="1" si="5"/>
        <v>0.58396999999999999</v>
      </c>
      <c r="AD51" s="663">
        <f t="shared" ca="1" si="6"/>
        <v>0.46169492899947395</v>
      </c>
    </row>
    <row r="52" spans="24:30" x14ac:dyDescent="0.2">
      <c r="X52" s="361">
        <f t="shared" ca="1" si="0"/>
        <v>18</v>
      </c>
      <c r="Y52" s="5">
        <f t="shared" ca="1" si="1"/>
        <v>1</v>
      </c>
      <c r="Z52" s="660">
        <f t="shared" ca="1" si="2"/>
        <v>0.37173643421781832</v>
      </c>
      <c r="AA52" s="240">
        <f t="shared" ca="1" si="3"/>
        <v>0.51987328178007741</v>
      </c>
      <c r="AB52" s="240">
        <f t="shared" ca="1" si="4"/>
        <v>0.37119999999999997</v>
      </c>
      <c r="AC52" s="240">
        <f t="shared" ca="1" si="5"/>
        <v>0.58396999999999999</v>
      </c>
      <c r="AD52" s="663">
        <f t="shared" ca="1" si="6"/>
        <v>0.46169492899947395</v>
      </c>
    </row>
    <row r="53" spans="24:30" x14ac:dyDescent="0.2">
      <c r="X53" s="361">
        <f t="shared" ca="1" si="0"/>
        <v>24</v>
      </c>
      <c r="Y53" s="5">
        <f t="shared" ca="1" si="1"/>
        <v>1</v>
      </c>
      <c r="Z53" s="660">
        <f t="shared" ca="1" si="2"/>
        <v>0.37173643421781832</v>
      </c>
      <c r="AA53" s="240">
        <f t="shared" ca="1" si="3"/>
        <v>0.51987328178007741</v>
      </c>
      <c r="AB53" s="240">
        <f t="shared" ca="1" si="4"/>
        <v>0.37119999999999997</v>
      </c>
      <c r="AC53" s="240">
        <f t="shared" ca="1" si="5"/>
        <v>0.58396999999999999</v>
      </c>
      <c r="AD53" s="663">
        <f t="shared" ca="1" si="6"/>
        <v>0.46169492899947395</v>
      </c>
    </row>
    <row r="54" spans="24:30" x14ac:dyDescent="0.2">
      <c r="X54" s="361">
        <f t="shared" ca="1" si="0"/>
        <v>27</v>
      </c>
      <c r="Y54" s="5">
        <f t="shared" ca="1" si="1"/>
        <v>1</v>
      </c>
      <c r="Z54" s="660">
        <f t="shared" ca="1" si="2"/>
        <v>0.37173643421781832</v>
      </c>
      <c r="AA54" s="240">
        <f t="shared" ca="1" si="3"/>
        <v>0.51987328178007741</v>
      </c>
      <c r="AB54" s="240">
        <f t="shared" ca="1" si="4"/>
        <v>0.37119999999999997</v>
      </c>
      <c r="AC54" s="240">
        <f t="shared" ca="1" si="5"/>
        <v>0.58396999999999999</v>
      </c>
      <c r="AD54" s="663">
        <f t="shared" ca="1" si="6"/>
        <v>0.46169492899947395</v>
      </c>
    </row>
    <row r="55" spans="24:30" x14ac:dyDescent="0.2">
      <c r="X55" s="361">
        <f t="shared" ca="1" si="0"/>
        <v>15</v>
      </c>
      <c r="Y55" s="5">
        <f t="shared" ca="1" si="1"/>
        <v>1</v>
      </c>
      <c r="Z55" s="660">
        <f t="shared" ca="1" si="2"/>
        <v>0.37173643421781832</v>
      </c>
      <c r="AA55" s="240">
        <f t="shared" ca="1" si="3"/>
        <v>0.51987328178007741</v>
      </c>
      <c r="AB55" s="240">
        <f t="shared" ca="1" si="4"/>
        <v>0.37119999999999997</v>
      </c>
      <c r="AC55" s="240">
        <f t="shared" ca="1" si="5"/>
        <v>0.58396999999999999</v>
      </c>
      <c r="AD55" s="663">
        <f t="shared" ca="1" si="6"/>
        <v>0.46169492899947395</v>
      </c>
    </row>
    <row r="56" spans="24:30" x14ac:dyDescent="0.2">
      <c r="X56" s="361">
        <f t="shared" ref="X56:X119" ca="1" si="7">RANDBETWEEN(7,30)</f>
        <v>15</v>
      </c>
      <c r="Y56" s="5">
        <f t="shared" ref="Y56:Y119" ca="1" si="8">MAX(1,8.104607-0.49219*(X56))</f>
        <v>1</v>
      </c>
      <c r="Z56" s="660">
        <f t="shared" ref="Z56:Z119" ca="1" si="9">EXP(3.6021+0.228*Y56-0.2145)/100</f>
        <v>0.37173643421781832</v>
      </c>
      <c r="AA56" s="240">
        <f t="shared" ref="AA56:AA119" ca="1" si="10">EXP(3.539+0.412*Y56)/100</f>
        <v>0.51987328178007741</v>
      </c>
      <c r="AB56" s="240">
        <f t="shared" ref="AB56:AB119" ca="1" si="11">(20.04+17.08*Y56)/100</f>
        <v>0.37119999999999997</v>
      </c>
      <c r="AC56" s="240">
        <f t="shared" ref="AC56:AC119" ca="1" si="12">(30.482+27.915*Y56)/100</f>
        <v>0.58396999999999999</v>
      </c>
      <c r="AD56" s="663">
        <f t="shared" ref="AD56:AD119" ca="1" si="13">AVERAGE(Z56:AC56)</f>
        <v>0.46169492899947395</v>
      </c>
    </row>
    <row r="57" spans="24:30" x14ac:dyDescent="0.2">
      <c r="X57" s="361">
        <f t="shared" ca="1" si="7"/>
        <v>15</v>
      </c>
      <c r="Y57" s="5">
        <f t="shared" ca="1" si="8"/>
        <v>1</v>
      </c>
      <c r="Z57" s="660">
        <f t="shared" ca="1" si="9"/>
        <v>0.37173643421781832</v>
      </c>
      <c r="AA57" s="240">
        <f t="shared" ca="1" si="10"/>
        <v>0.51987328178007741</v>
      </c>
      <c r="AB57" s="240">
        <f t="shared" ca="1" si="11"/>
        <v>0.37119999999999997</v>
      </c>
      <c r="AC57" s="240">
        <f t="shared" ca="1" si="12"/>
        <v>0.58396999999999999</v>
      </c>
      <c r="AD57" s="663">
        <f t="shared" ca="1" si="13"/>
        <v>0.46169492899947395</v>
      </c>
    </row>
    <row r="58" spans="24:30" x14ac:dyDescent="0.2">
      <c r="X58" s="361">
        <f t="shared" ca="1" si="7"/>
        <v>30</v>
      </c>
      <c r="Y58" s="5">
        <f t="shared" ca="1" si="8"/>
        <v>1</v>
      </c>
      <c r="Z58" s="660">
        <f t="shared" ca="1" si="9"/>
        <v>0.37173643421781832</v>
      </c>
      <c r="AA58" s="240">
        <f t="shared" ca="1" si="10"/>
        <v>0.51987328178007741</v>
      </c>
      <c r="AB58" s="240">
        <f t="shared" ca="1" si="11"/>
        <v>0.37119999999999997</v>
      </c>
      <c r="AC58" s="240">
        <f t="shared" ca="1" si="12"/>
        <v>0.58396999999999999</v>
      </c>
      <c r="AD58" s="663">
        <f t="shared" ca="1" si="13"/>
        <v>0.46169492899947395</v>
      </c>
    </row>
    <row r="59" spans="24:30" x14ac:dyDescent="0.2">
      <c r="X59" s="361">
        <f t="shared" ca="1" si="7"/>
        <v>20</v>
      </c>
      <c r="Y59" s="5">
        <f t="shared" ca="1" si="8"/>
        <v>1</v>
      </c>
      <c r="Z59" s="660">
        <f t="shared" ca="1" si="9"/>
        <v>0.37173643421781832</v>
      </c>
      <c r="AA59" s="240">
        <f t="shared" ca="1" si="10"/>
        <v>0.51987328178007741</v>
      </c>
      <c r="AB59" s="240">
        <f t="shared" ca="1" si="11"/>
        <v>0.37119999999999997</v>
      </c>
      <c r="AC59" s="240">
        <f t="shared" ca="1" si="12"/>
        <v>0.58396999999999999</v>
      </c>
      <c r="AD59" s="663">
        <f t="shared" ca="1" si="13"/>
        <v>0.46169492899947395</v>
      </c>
    </row>
    <row r="60" spans="24:30" x14ac:dyDescent="0.2">
      <c r="X60" s="361">
        <f t="shared" ca="1" si="7"/>
        <v>15</v>
      </c>
      <c r="Y60" s="5">
        <f t="shared" ca="1" si="8"/>
        <v>1</v>
      </c>
      <c r="Z60" s="660">
        <f t="shared" ca="1" si="9"/>
        <v>0.37173643421781832</v>
      </c>
      <c r="AA60" s="240">
        <f t="shared" ca="1" si="10"/>
        <v>0.51987328178007741</v>
      </c>
      <c r="AB60" s="240">
        <f t="shared" ca="1" si="11"/>
        <v>0.37119999999999997</v>
      </c>
      <c r="AC60" s="240">
        <f t="shared" ca="1" si="12"/>
        <v>0.58396999999999999</v>
      </c>
      <c r="AD60" s="663">
        <f t="shared" ca="1" si="13"/>
        <v>0.46169492899947395</v>
      </c>
    </row>
    <row r="61" spans="24:30" x14ac:dyDescent="0.2">
      <c r="X61" s="361">
        <f t="shared" ca="1" si="7"/>
        <v>26</v>
      </c>
      <c r="Y61" s="5">
        <f t="shared" ca="1" si="8"/>
        <v>1</v>
      </c>
      <c r="Z61" s="660">
        <f t="shared" ca="1" si="9"/>
        <v>0.37173643421781832</v>
      </c>
      <c r="AA61" s="240">
        <f t="shared" ca="1" si="10"/>
        <v>0.51987328178007741</v>
      </c>
      <c r="AB61" s="240">
        <f t="shared" ca="1" si="11"/>
        <v>0.37119999999999997</v>
      </c>
      <c r="AC61" s="240">
        <f t="shared" ca="1" si="12"/>
        <v>0.58396999999999999</v>
      </c>
      <c r="AD61" s="663">
        <f t="shared" ca="1" si="13"/>
        <v>0.46169492899947395</v>
      </c>
    </row>
    <row r="62" spans="24:30" x14ac:dyDescent="0.2">
      <c r="X62" s="361">
        <f t="shared" ca="1" si="7"/>
        <v>27</v>
      </c>
      <c r="Y62" s="5">
        <f t="shared" ca="1" si="8"/>
        <v>1</v>
      </c>
      <c r="Z62" s="660">
        <f t="shared" ca="1" si="9"/>
        <v>0.37173643421781832</v>
      </c>
      <c r="AA62" s="240">
        <f t="shared" ca="1" si="10"/>
        <v>0.51987328178007741</v>
      </c>
      <c r="AB62" s="240">
        <f t="shared" ca="1" si="11"/>
        <v>0.37119999999999997</v>
      </c>
      <c r="AC62" s="240">
        <f t="shared" ca="1" si="12"/>
        <v>0.58396999999999999</v>
      </c>
      <c r="AD62" s="663">
        <f t="shared" ca="1" si="13"/>
        <v>0.46169492899947395</v>
      </c>
    </row>
    <row r="63" spans="24:30" x14ac:dyDescent="0.2">
      <c r="X63" s="361">
        <f t="shared" ca="1" si="7"/>
        <v>15</v>
      </c>
      <c r="Y63" s="5">
        <f t="shared" ca="1" si="8"/>
        <v>1</v>
      </c>
      <c r="Z63" s="660">
        <f t="shared" ca="1" si="9"/>
        <v>0.37173643421781832</v>
      </c>
      <c r="AA63" s="240">
        <f t="shared" ca="1" si="10"/>
        <v>0.51987328178007741</v>
      </c>
      <c r="AB63" s="240">
        <f t="shared" ca="1" si="11"/>
        <v>0.37119999999999997</v>
      </c>
      <c r="AC63" s="240">
        <f t="shared" ca="1" si="12"/>
        <v>0.58396999999999999</v>
      </c>
      <c r="AD63" s="663">
        <f t="shared" ca="1" si="13"/>
        <v>0.46169492899947395</v>
      </c>
    </row>
    <row r="64" spans="24:30" x14ac:dyDescent="0.2">
      <c r="X64" s="361">
        <f t="shared" ca="1" si="7"/>
        <v>10</v>
      </c>
      <c r="Y64" s="5">
        <f t="shared" ca="1" si="8"/>
        <v>3.1827069999999997</v>
      </c>
      <c r="Z64" s="660">
        <f t="shared" ca="1" si="9"/>
        <v>0.61145556627399278</v>
      </c>
      <c r="AA64" s="240">
        <f t="shared" ca="1" si="10"/>
        <v>1.2777555957211661</v>
      </c>
      <c r="AB64" s="240">
        <f t="shared" ca="1" si="11"/>
        <v>0.74400635559999984</v>
      </c>
      <c r="AC64" s="240">
        <f t="shared" ca="1" si="12"/>
        <v>1.1932726590499998</v>
      </c>
      <c r="AD64" s="663">
        <f t="shared" ca="1" si="13"/>
        <v>0.95662254416128967</v>
      </c>
    </row>
    <row r="65" spans="24:30" x14ac:dyDescent="0.2">
      <c r="X65" s="361">
        <f t="shared" ca="1" si="7"/>
        <v>23</v>
      </c>
      <c r="Y65" s="5">
        <f t="shared" ca="1" si="8"/>
        <v>1</v>
      </c>
      <c r="Z65" s="660">
        <f t="shared" ca="1" si="9"/>
        <v>0.37173643421781832</v>
      </c>
      <c r="AA65" s="240">
        <f t="shared" ca="1" si="10"/>
        <v>0.51987328178007741</v>
      </c>
      <c r="AB65" s="240">
        <f t="shared" ca="1" si="11"/>
        <v>0.37119999999999997</v>
      </c>
      <c r="AC65" s="240">
        <f t="shared" ca="1" si="12"/>
        <v>0.58396999999999999</v>
      </c>
      <c r="AD65" s="663">
        <f t="shared" ca="1" si="13"/>
        <v>0.46169492899947395</v>
      </c>
    </row>
    <row r="66" spans="24:30" x14ac:dyDescent="0.2">
      <c r="X66" s="361">
        <f t="shared" ca="1" si="7"/>
        <v>7</v>
      </c>
      <c r="Y66" s="5">
        <f t="shared" ca="1" si="8"/>
        <v>4.6592769999999994</v>
      </c>
      <c r="Z66" s="660">
        <f t="shared" ca="1" si="9"/>
        <v>0.85619679377947933</v>
      </c>
      <c r="AA66" s="240">
        <f t="shared" ca="1" si="10"/>
        <v>2.3477371233527737</v>
      </c>
      <c r="AB66" s="240">
        <f t="shared" ca="1" si="11"/>
        <v>0.9962045115999999</v>
      </c>
      <c r="AC66" s="240">
        <f t="shared" ca="1" si="12"/>
        <v>1.6054571745499999</v>
      </c>
      <c r="AD66" s="663">
        <f t="shared" ca="1" si="13"/>
        <v>1.4513989008205632</v>
      </c>
    </row>
    <row r="67" spans="24:30" x14ac:dyDescent="0.2">
      <c r="X67" s="361">
        <f t="shared" ca="1" si="7"/>
        <v>20</v>
      </c>
      <c r="Y67" s="5">
        <f t="shared" ca="1" si="8"/>
        <v>1</v>
      </c>
      <c r="Z67" s="660">
        <f t="shared" ca="1" si="9"/>
        <v>0.37173643421781832</v>
      </c>
      <c r="AA67" s="240">
        <f t="shared" ca="1" si="10"/>
        <v>0.51987328178007741</v>
      </c>
      <c r="AB67" s="240">
        <f t="shared" ca="1" si="11"/>
        <v>0.37119999999999997</v>
      </c>
      <c r="AC67" s="240">
        <f t="shared" ca="1" si="12"/>
        <v>0.58396999999999999</v>
      </c>
      <c r="AD67" s="663">
        <f t="shared" ca="1" si="13"/>
        <v>0.46169492899947395</v>
      </c>
    </row>
    <row r="68" spans="24:30" x14ac:dyDescent="0.2">
      <c r="X68" s="361">
        <f t="shared" ca="1" si="7"/>
        <v>26</v>
      </c>
      <c r="Y68" s="5">
        <f t="shared" ca="1" si="8"/>
        <v>1</v>
      </c>
      <c r="Z68" s="660">
        <f t="shared" ca="1" si="9"/>
        <v>0.37173643421781832</v>
      </c>
      <c r="AA68" s="240">
        <f t="shared" ca="1" si="10"/>
        <v>0.51987328178007741</v>
      </c>
      <c r="AB68" s="240">
        <f t="shared" ca="1" si="11"/>
        <v>0.37119999999999997</v>
      </c>
      <c r="AC68" s="240">
        <f t="shared" ca="1" si="12"/>
        <v>0.58396999999999999</v>
      </c>
      <c r="AD68" s="663">
        <f t="shared" ca="1" si="13"/>
        <v>0.46169492899947395</v>
      </c>
    </row>
    <row r="69" spans="24:30" x14ac:dyDescent="0.2">
      <c r="X69" s="361">
        <f t="shared" ca="1" si="7"/>
        <v>18</v>
      </c>
      <c r="Y69" s="5">
        <f t="shared" ca="1" si="8"/>
        <v>1</v>
      </c>
      <c r="Z69" s="660">
        <f t="shared" ca="1" si="9"/>
        <v>0.37173643421781832</v>
      </c>
      <c r="AA69" s="240">
        <f t="shared" ca="1" si="10"/>
        <v>0.51987328178007741</v>
      </c>
      <c r="AB69" s="240">
        <f t="shared" ca="1" si="11"/>
        <v>0.37119999999999997</v>
      </c>
      <c r="AC69" s="240">
        <f t="shared" ca="1" si="12"/>
        <v>0.58396999999999999</v>
      </c>
      <c r="AD69" s="663">
        <f t="shared" ca="1" si="13"/>
        <v>0.46169492899947395</v>
      </c>
    </row>
    <row r="70" spans="24:30" x14ac:dyDescent="0.2">
      <c r="X70" s="361">
        <f t="shared" ca="1" si="7"/>
        <v>28</v>
      </c>
      <c r="Y70" s="5">
        <f t="shared" ca="1" si="8"/>
        <v>1</v>
      </c>
      <c r="Z70" s="660">
        <f t="shared" ca="1" si="9"/>
        <v>0.37173643421781832</v>
      </c>
      <c r="AA70" s="240">
        <f t="shared" ca="1" si="10"/>
        <v>0.51987328178007741</v>
      </c>
      <c r="AB70" s="240">
        <f t="shared" ca="1" si="11"/>
        <v>0.37119999999999997</v>
      </c>
      <c r="AC70" s="240">
        <f t="shared" ca="1" si="12"/>
        <v>0.58396999999999999</v>
      </c>
      <c r="AD70" s="663">
        <f t="shared" ca="1" si="13"/>
        <v>0.46169492899947395</v>
      </c>
    </row>
    <row r="71" spans="24:30" x14ac:dyDescent="0.2">
      <c r="X71" s="361">
        <f t="shared" ca="1" si="7"/>
        <v>27</v>
      </c>
      <c r="Y71" s="5">
        <f t="shared" ca="1" si="8"/>
        <v>1</v>
      </c>
      <c r="Z71" s="660">
        <f t="shared" ca="1" si="9"/>
        <v>0.37173643421781832</v>
      </c>
      <c r="AA71" s="240">
        <f t="shared" ca="1" si="10"/>
        <v>0.51987328178007741</v>
      </c>
      <c r="AB71" s="240">
        <f t="shared" ca="1" si="11"/>
        <v>0.37119999999999997</v>
      </c>
      <c r="AC71" s="240">
        <f t="shared" ca="1" si="12"/>
        <v>0.58396999999999999</v>
      </c>
      <c r="AD71" s="663">
        <f t="shared" ca="1" si="13"/>
        <v>0.46169492899947395</v>
      </c>
    </row>
    <row r="72" spans="24:30" x14ac:dyDescent="0.2">
      <c r="X72" s="361">
        <f t="shared" ca="1" si="7"/>
        <v>7</v>
      </c>
      <c r="Y72" s="5">
        <f t="shared" ca="1" si="8"/>
        <v>4.6592769999999994</v>
      </c>
      <c r="Z72" s="660">
        <f t="shared" ca="1" si="9"/>
        <v>0.85619679377947933</v>
      </c>
      <c r="AA72" s="240">
        <f t="shared" ca="1" si="10"/>
        <v>2.3477371233527737</v>
      </c>
      <c r="AB72" s="240">
        <f t="shared" ca="1" si="11"/>
        <v>0.9962045115999999</v>
      </c>
      <c r="AC72" s="240">
        <f t="shared" ca="1" si="12"/>
        <v>1.6054571745499999</v>
      </c>
      <c r="AD72" s="663">
        <f t="shared" ca="1" si="13"/>
        <v>1.4513989008205632</v>
      </c>
    </row>
    <row r="73" spans="24:30" x14ac:dyDescent="0.2">
      <c r="X73" s="361">
        <f t="shared" ca="1" si="7"/>
        <v>7</v>
      </c>
      <c r="Y73" s="5">
        <f t="shared" ca="1" si="8"/>
        <v>4.6592769999999994</v>
      </c>
      <c r="Z73" s="660">
        <f t="shared" ca="1" si="9"/>
        <v>0.85619679377947933</v>
      </c>
      <c r="AA73" s="240">
        <f t="shared" ca="1" si="10"/>
        <v>2.3477371233527737</v>
      </c>
      <c r="AB73" s="240">
        <f t="shared" ca="1" si="11"/>
        <v>0.9962045115999999</v>
      </c>
      <c r="AC73" s="240">
        <f t="shared" ca="1" si="12"/>
        <v>1.6054571745499999</v>
      </c>
      <c r="AD73" s="663">
        <f t="shared" ca="1" si="13"/>
        <v>1.4513989008205632</v>
      </c>
    </row>
    <row r="74" spans="24:30" x14ac:dyDescent="0.2">
      <c r="X74" s="361">
        <f t="shared" ca="1" si="7"/>
        <v>12</v>
      </c>
      <c r="Y74" s="5">
        <f t="shared" ca="1" si="8"/>
        <v>2.198326999999999</v>
      </c>
      <c r="Z74" s="660">
        <f t="shared" ca="1" si="9"/>
        <v>0.48853135172025192</v>
      </c>
      <c r="AA74" s="240">
        <f t="shared" ca="1" si="10"/>
        <v>0.85175235121906223</v>
      </c>
      <c r="AB74" s="240">
        <f t="shared" ca="1" si="11"/>
        <v>0.57587425159999983</v>
      </c>
      <c r="AC74" s="240">
        <f t="shared" ca="1" si="12"/>
        <v>0.91848298204999967</v>
      </c>
      <c r="AD74" s="663">
        <f t="shared" ca="1" si="13"/>
        <v>0.70866023414732837</v>
      </c>
    </row>
    <row r="75" spans="24:30" x14ac:dyDescent="0.2">
      <c r="X75" s="361">
        <f t="shared" ca="1" si="7"/>
        <v>22</v>
      </c>
      <c r="Y75" s="5">
        <f t="shared" ca="1" si="8"/>
        <v>1</v>
      </c>
      <c r="Z75" s="660">
        <f t="shared" ca="1" si="9"/>
        <v>0.37173643421781832</v>
      </c>
      <c r="AA75" s="240">
        <f t="shared" ca="1" si="10"/>
        <v>0.51987328178007741</v>
      </c>
      <c r="AB75" s="240">
        <f t="shared" ca="1" si="11"/>
        <v>0.37119999999999997</v>
      </c>
      <c r="AC75" s="240">
        <f t="shared" ca="1" si="12"/>
        <v>0.58396999999999999</v>
      </c>
      <c r="AD75" s="663">
        <f t="shared" ca="1" si="13"/>
        <v>0.46169492899947395</v>
      </c>
    </row>
    <row r="76" spans="24:30" x14ac:dyDescent="0.2">
      <c r="X76" s="361">
        <f t="shared" ca="1" si="7"/>
        <v>11</v>
      </c>
      <c r="Y76" s="5">
        <f t="shared" ca="1" si="8"/>
        <v>2.6905169999999998</v>
      </c>
      <c r="Z76" s="660">
        <f t="shared" ca="1" si="9"/>
        <v>0.54654845559081566</v>
      </c>
      <c r="AA76" s="240">
        <f t="shared" ca="1" si="10"/>
        <v>1.0432311982196549</v>
      </c>
      <c r="AB76" s="240">
        <f t="shared" ca="1" si="11"/>
        <v>0.65994030359999978</v>
      </c>
      <c r="AC76" s="240">
        <f t="shared" ca="1" si="12"/>
        <v>1.0558778205499999</v>
      </c>
      <c r="AD76" s="663">
        <f t="shared" ca="1" si="13"/>
        <v>0.82639944449011771</v>
      </c>
    </row>
    <row r="77" spans="24:30" x14ac:dyDescent="0.2">
      <c r="X77" s="361">
        <f t="shared" ca="1" si="7"/>
        <v>15</v>
      </c>
      <c r="Y77" s="5">
        <f t="shared" ca="1" si="8"/>
        <v>1</v>
      </c>
      <c r="Z77" s="660">
        <f t="shared" ca="1" si="9"/>
        <v>0.37173643421781832</v>
      </c>
      <c r="AA77" s="240">
        <f t="shared" ca="1" si="10"/>
        <v>0.51987328178007741</v>
      </c>
      <c r="AB77" s="240">
        <f t="shared" ca="1" si="11"/>
        <v>0.37119999999999997</v>
      </c>
      <c r="AC77" s="240">
        <f t="shared" ca="1" si="12"/>
        <v>0.58396999999999999</v>
      </c>
      <c r="AD77" s="663">
        <f t="shared" ca="1" si="13"/>
        <v>0.46169492899947395</v>
      </c>
    </row>
    <row r="78" spans="24:30" x14ac:dyDescent="0.2">
      <c r="X78" s="361">
        <f t="shared" ca="1" si="7"/>
        <v>24</v>
      </c>
      <c r="Y78" s="5">
        <f t="shared" ca="1" si="8"/>
        <v>1</v>
      </c>
      <c r="Z78" s="660">
        <f t="shared" ca="1" si="9"/>
        <v>0.37173643421781832</v>
      </c>
      <c r="AA78" s="240">
        <f t="shared" ca="1" si="10"/>
        <v>0.51987328178007741</v>
      </c>
      <c r="AB78" s="240">
        <f t="shared" ca="1" si="11"/>
        <v>0.37119999999999997</v>
      </c>
      <c r="AC78" s="240">
        <f t="shared" ca="1" si="12"/>
        <v>0.58396999999999999</v>
      </c>
      <c r="AD78" s="663">
        <f t="shared" ca="1" si="13"/>
        <v>0.46169492899947395</v>
      </c>
    </row>
    <row r="79" spans="24:30" x14ac:dyDescent="0.2">
      <c r="X79" s="361">
        <f t="shared" ca="1" si="7"/>
        <v>20</v>
      </c>
      <c r="Y79" s="5">
        <f t="shared" ca="1" si="8"/>
        <v>1</v>
      </c>
      <c r="Z79" s="660">
        <f t="shared" ca="1" si="9"/>
        <v>0.37173643421781832</v>
      </c>
      <c r="AA79" s="240">
        <f t="shared" ca="1" si="10"/>
        <v>0.51987328178007741</v>
      </c>
      <c r="AB79" s="240">
        <f t="shared" ca="1" si="11"/>
        <v>0.37119999999999997</v>
      </c>
      <c r="AC79" s="240">
        <f t="shared" ca="1" si="12"/>
        <v>0.58396999999999999</v>
      </c>
      <c r="AD79" s="663">
        <f t="shared" ca="1" si="13"/>
        <v>0.46169492899947395</v>
      </c>
    </row>
    <row r="80" spans="24:30" x14ac:dyDescent="0.2">
      <c r="X80" s="361">
        <f t="shared" ca="1" si="7"/>
        <v>23</v>
      </c>
      <c r="Y80" s="5">
        <f t="shared" ca="1" si="8"/>
        <v>1</v>
      </c>
      <c r="Z80" s="660">
        <f t="shared" ca="1" si="9"/>
        <v>0.37173643421781832</v>
      </c>
      <c r="AA80" s="240">
        <f t="shared" ca="1" si="10"/>
        <v>0.51987328178007741</v>
      </c>
      <c r="AB80" s="240">
        <f t="shared" ca="1" si="11"/>
        <v>0.37119999999999997</v>
      </c>
      <c r="AC80" s="240">
        <f t="shared" ca="1" si="12"/>
        <v>0.58396999999999999</v>
      </c>
      <c r="AD80" s="663">
        <f t="shared" ca="1" si="13"/>
        <v>0.46169492899947395</v>
      </c>
    </row>
    <row r="81" spans="24:30" x14ac:dyDescent="0.2">
      <c r="X81" s="361">
        <f t="shared" ca="1" si="7"/>
        <v>18</v>
      </c>
      <c r="Y81" s="5">
        <f t="shared" ca="1" si="8"/>
        <v>1</v>
      </c>
      <c r="Z81" s="660">
        <f t="shared" ca="1" si="9"/>
        <v>0.37173643421781832</v>
      </c>
      <c r="AA81" s="240">
        <f t="shared" ca="1" si="10"/>
        <v>0.51987328178007741</v>
      </c>
      <c r="AB81" s="240">
        <f t="shared" ca="1" si="11"/>
        <v>0.37119999999999997</v>
      </c>
      <c r="AC81" s="240">
        <f t="shared" ca="1" si="12"/>
        <v>0.58396999999999999</v>
      </c>
      <c r="AD81" s="663">
        <f t="shared" ca="1" si="13"/>
        <v>0.46169492899947395</v>
      </c>
    </row>
    <row r="82" spans="24:30" x14ac:dyDescent="0.2">
      <c r="X82" s="361">
        <f t="shared" ca="1" si="7"/>
        <v>26</v>
      </c>
      <c r="Y82" s="5">
        <f t="shared" ca="1" si="8"/>
        <v>1</v>
      </c>
      <c r="Z82" s="660">
        <f t="shared" ca="1" si="9"/>
        <v>0.37173643421781832</v>
      </c>
      <c r="AA82" s="240">
        <f t="shared" ca="1" si="10"/>
        <v>0.51987328178007741</v>
      </c>
      <c r="AB82" s="240">
        <f t="shared" ca="1" si="11"/>
        <v>0.37119999999999997</v>
      </c>
      <c r="AC82" s="240">
        <f t="shared" ca="1" si="12"/>
        <v>0.58396999999999999</v>
      </c>
      <c r="AD82" s="663">
        <f t="shared" ca="1" si="13"/>
        <v>0.46169492899947395</v>
      </c>
    </row>
    <row r="83" spans="24:30" x14ac:dyDescent="0.2">
      <c r="X83" s="361">
        <f t="shared" ca="1" si="7"/>
        <v>26</v>
      </c>
      <c r="Y83" s="5">
        <f t="shared" ca="1" si="8"/>
        <v>1</v>
      </c>
      <c r="Z83" s="660">
        <f t="shared" ca="1" si="9"/>
        <v>0.37173643421781832</v>
      </c>
      <c r="AA83" s="240">
        <f t="shared" ca="1" si="10"/>
        <v>0.51987328178007741</v>
      </c>
      <c r="AB83" s="240">
        <f t="shared" ca="1" si="11"/>
        <v>0.37119999999999997</v>
      </c>
      <c r="AC83" s="240">
        <f t="shared" ca="1" si="12"/>
        <v>0.58396999999999999</v>
      </c>
      <c r="AD83" s="663">
        <f t="shared" ca="1" si="13"/>
        <v>0.46169492899947395</v>
      </c>
    </row>
    <row r="84" spans="24:30" x14ac:dyDescent="0.2">
      <c r="X84" s="361">
        <f t="shared" ca="1" si="7"/>
        <v>9</v>
      </c>
      <c r="Y84" s="5">
        <f t="shared" ca="1" si="8"/>
        <v>3.6748969999999996</v>
      </c>
      <c r="Z84" s="660">
        <f t="shared" ca="1" si="9"/>
        <v>0.68407092857537966</v>
      </c>
      <c r="AA84" s="240">
        <f t="shared" ca="1" si="10"/>
        <v>1.5650024320428637</v>
      </c>
      <c r="AB84" s="240">
        <f t="shared" ca="1" si="11"/>
        <v>0.82807240759999989</v>
      </c>
      <c r="AC84" s="240">
        <f t="shared" ca="1" si="12"/>
        <v>1.3306674975499999</v>
      </c>
      <c r="AD84" s="663">
        <f t="shared" ca="1" si="13"/>
        <v>1.101953316442061</v>
      </c>
    </row>
    <row r="85" spans="24:30" x14ac:dyDescent="0.2">
      <c r="X85" s="361">
        <f t="shared" ca="1" si="7"/>
        <v>19</v>
      </c>
      <c r="Y85" s="5">
        <f t="shared" ca="1" si="8"/>
        <v>1</v>
      </c>
      <c r="Z85" s="660">
        <f t="shared" ca="1" si="9"/>
        <v>0.37173643421781832</v>
      </c>
      <c r="AA85" s="240">
        <f t="shared" ca="1" si="10"/>
        <v>0.51987328178007741</v>
      </c>
      <c r="AB85" s="240">
        <f t="shared" ca="1" si="11"/>
        <v>0.37119999999999997</v>
      </c>
      <c r="AC85" s="240">
        <f t="shared" ca="1" si="12"/>
        <v>0.58396999999999999</v>
      </c>
      <c r="AD85" s="663">
        <f t="shared" ca="1" si="13"/>
        <v>0.46169492899947395</v>
      </c>
    </row>
    <row r="86" spans="24:30" x14ac:dyDescent="0.2">
      <c r="X86" s="361">
        <f t="shared" ca="1" si="7"/>
        <v>11</v>
      </c>
      <c r="Y86" s="5">
        <f t="shared" ca="1" si="8"/>
        <v>2.6905169999999998</v>
      </c>
      <c r="Z86" s="660">
        <f t="shared" ca="1" si="9"/>
        <v>0.54654845559081566</v>
      </c>
      <c r="AA86" s="240">
        <f t="shared" ca="1" si="10"/>
        <v>1.0432311982196549</v>
      </c>
      <c r="AB86" s="240">
        <f t="shared" ca="1" si="11"/>
        <v>0.65994030359999978</v>
      </c>
      <c r="AC86" s="240">
        <f t="shared" ca="1" si="12"/>
        <v>1.0558778205499999</v>
      </c>
      <c r="AD86" s="663">
        <f t="shared" ca="1" si="13"/>
        <v>0.82639944449011771</v>
      </c>
    </row>
    <row r="87" spans="24:30" x14ac:dyDescent="0.2">
      <c r="X87" s="361">
        <f t="shared" ca="1" si="7"/>
        <v>7</v>
      </c>
      <c r="Y87" s="5">
        <f t="shared" ca="1" si="8"/>
        <v>4.6592769999999994</v>
      </c>
      <c r="Z87" s="660">
        <f t="shared" ca="1" si="9"/>
        <v>0.85619679377947933</v>
      </c>
      <c r="AA87" s="240">
        <f t="shared" ca="1" si="10"/>
        <v>2.3477371233527737</v>
      </c>
      <c r="AB87" s="240">
        <f t="shared" ca="1" si="11"/>
        <v>0.9962045115999999</v>
      </c>
      <c r="AC87" s="240">
        <f t="shared" ca="1" si="12"/>
        <v>1.6054571745499999</v>
      </c>
      <c r="AD87" s="663">
        <f t="shared" ca="1" si="13"/>
        <v>1.4513989008205632</v>
      </c>
    </row>
    <row r="88" spans="24:30" x14ac:dyDescent="0.2">
      <c r="X88" s="361">
        <f t="shared" ca="1" si="7"/>
        <v>7</v>
      </c>
      <c r="Y88" s="5">
        <f t="shared" ca="1" si="8"/>
        <v>4.6592769999999994</v>
      </c>
      <c r="Z88" s="660">
        <f t="shared" ca="1" si="9"/>
        <v>0.85619679377947933</v>
      </c>
      <c r="AA88" s="240">
        <f t="shared" ca="1" si="10"/>
        <v>2.3477371233527737</v>
      </c>
      <c r="AB88" s="240">
        <f t="shared" ca="1" si="11"/>
        <v>0.9962045115999999</v>
      </c>
      <c r="AC88" s="240">
        <f t="shared" ca="1" si="12"/>
        <v>1.6054571745499999</v>
      </c>
      <c r="AD88" s="663">
        <f t="shared" ca="1" si="13"/>
        <v>1.4513989008205632</v>
      </c>
    </row>
    <row r="89" spans="24:30" x14ac:dyDescent="0.2">
      <c r="X89" s="361">
        <f t="shared" ca="1" si="7"/>
        <v>23</v>
      </c>
      <c r="Y89" s="5">
        <f t="shared" ca="1" si="8"/>
        <v>1</v>
      </c>
      <c r="Z89" s="660">
        <f t="shared" ca="1" si="9"/>
        <v>0.37173643421781832</v>
      </c>
      <c r="AA89" s="240">
        <f t="shared" ca="1" si="10"/>
        <v>0.51987328178007741</v>
      </c>
      <c r="AB89" s="240">
        <f t="shared" ca="1" si="11"/>
        <v>0.37119999999999997</v>
      </c>
      <c r="AC89" s="240">
        <f t="shared" ca="1" si="12"/>
        <v>0.58396999999999999</v>
      </c>
      <c r="AD89" s="663">
        <f t="shared" ca="1" si="13"/>
        <v>0.46169492899947395</v>
      </c>
    </row>
    <row r="90" spans="24:30" x14ac:dyDescent="0.2">
      <c r="X90" s="361">
        <f t="shared" ca="1" si="7"/>
        <v>29</v>
      </c>
      <c r="Y90" s="5">
        <f t="shared" ca="1" si="8"/>
        <v>1</v>
      </c>
      <c r="Z90" s="660">
        <f t="shared" ca="1" si="9"/>
        <v>0.37173643421781832</v>
      </c>
      <c r="AA90" s="240">
        <f t="shared" ca="1" si="10"/>
        <v>0.51987328178007741</v>
      </c>
      <c r="AB90" s="240">
        <f t="shared" ca="1" si="11"/>
        <v>0.37119999999999997</v>
      </c>
      <c r="AC90" s="240">
        <f t="shared" ca="1" si="12"/>
        <v>0.58396999999999999</v>
      </c>
      <c r="AD90" s="663">
        <f t="shared" ca="1" si="13"/>
        <v>0.46169492899947395</v>
      </c>
    </row>
    <row r="91" spans="24:30" x14ac:dyDescent="0.2">
      <c r="X91" s="361">
        <f t="shared" ca="1" si="7"/>
        <v>11</v>
      </c>
      <c r="Y91" s="5">
        <f t="shared" ca="1" si="8"/>
        <v>2.6905169999999998</v>
      </c>
      <c r="Z91" s="660">
        <f t="shared" ca="1" si="9"/>
        <v>0.54654845559081566</v>
      </c>
      <c r="AA91" s="240">
        <f t="shared" ca="1" si="10"/>
        <v>1.0432311982196549</v>
      </c>
      <c r="AB91" s="240">
        <f t="shared" ca="1" si="11"/>
        <v>0.65994030359999978</v>
      </c>
      <c r="AC91" s="240">
        <f t="shared" ca="1" si="12"/>
        <v>1.0558778205499999</v>
      </c>
      <c r="AD91" s="663">
        <f t="shared" ca="1" si="13"/>
        <v>0.82639944449011771</v>
      </c>
    </row>
    <row r="92" spans="24:30" x14ac:dyDescent="0.2">
      <c r="X92" s="361">
        <f t="shared" ca="1" si="7"/>
        <v>16</v>
      </c>
      <c r="Y92" s="5">
        <f t="shared" ca="1" si="8"/>
        <v>1</v>
      </c>
      <c r="Z92" s="660">
        <f t="shared" ca="1" si="9"/>
        <v>0.37173643421781832</v>
      </c>
      <c r="AA92" s="240">
        <f t="shared" ca="1" si="10"/>
        <v>0.51987328178007741</v>
      </c>
      <c r="AB92" s="240">
        <f t="shared" ca="1" si="11"/>
        <v>0.37119999999999997</v>
      </c>
      <c r="AC92" s="240">
        <f t="shared" ca="1" si="12"/>
        <v>0.58396999999999999</v>
      </c>
      <c r="AD92" s="663">
        <f t="shared" ca="1" si="13"/>
        <v>0.46169492899947395</v>
      </c>
    </row>
    <row r="93" spans="24:30" x14ac:dyDescent="0.2">
      <c r="X93" s="361">
        <f t="shared" ca="1" si="7"/>
        <v>22</v>
      </c>
      <c r="Y93" s="5">
        <f t="shared" ca="1" si="8"/>
        <v>1</v>
      </c>
      <c r="Z93" s="660">
        <f t="shared" ca="1" si="9"/>
        <v>0.37173643421781832</v>
      </c>
      <c r="AA93" s="240">
        <f t="shared" ca="1" si="10"/>
        <v>0.51987328178007741</v>
      </c>
      <c r="AB93" s="240">
        <f t="shared" ca="1" si="11"/>
        <v>0.37119999999999997</v>
      </c>
      <c r="AC93" s="240">
        <f t="shared" ca="1" si="12"/>
        <v>0.58396999999999999</v>
      </c>
      <c r="AD93" s="663">
        <f t="shared" ca="1" si="13"/>
        <v>0.46169492899947395</v>
      </c>
    </row>
    <row r="94" spans="24:30" x14ac:dyDescent="0.2">
      <c r="X94" s="361">
        <f t="shared" ca="1" si="7"/>
        <v>20</v>
      </c>
      <c r="Y94" s="5">
        <f t="shared" ca="1" si="8"/>
        <v>1</v>
      </c>
      <c r="Z94" s="660">
        <f t="shared" ca="1" si="9"/>
        <v>0.37173643421781832</v>
      </c>
      <c r="AA94" s="240">
        <f t="shared" ca="1" si="10"/>
        <v>0.51987328178007741</v>
      </c>
      <c r="AB94" s="240">
        <f t="shared" ca="1" si="11"/>
        <v>0.37119999999999997</v>
      </c>
      <c r="AC94" s="240">
        <f t="shared" ca="1" si="12"/>
        <v>0.58396999999999999</v>
      </c>
      <c r="AD94" s="663">
        <f t="shared" ca="1" si="13"/>
        <v>0.46169492899947395</v>
      </c>
    </row>
    <row r="95" spans="24:30" x14ac:dyDescent="0.2">
      <c r="X95" s="361">
        <f t="shared" ca="1" si="7"/>
        <v>11</v>
      </c>
      <c r="Y95" s="5">
        <f t="shared" ca="1" si="8"/>
        <v>2.6905169999999998</v>
      </c>
      <c r="Z95" s="660">
        <f t="shared" ca="1" si="9"/>
        <v>0.54654845559081566</v>
      </c>
      <c r="AA95" s="240">
        <f t="shared" ca="1" si="10"/>
        <v>1.0432311982196549</v>
      </c>
      <c r="AB95" s="240">
        <f t="shared" ca="1" si="11"/>
        <v>0.65994030359999978</v>
      </c>
      <c r="AC95" s="240">
        <f t="shared" ca="1" si="12"/>
        <v>1.0558778205499999</v>
      </c>
      <c r="AD95" s="663">
        <f t="shared" ca="1" si="13"/>
        <v>0.82639944449011771</v>
      </c>
    </row>
    <row r="96" spans="24:30" x14ac:dyDescent="0.2">
      <c r="X96" s="361">
        <f t="shared" ca="1" si="7"/>
        <v>27</v>
      </c>
      <c r="Y96" s="5">
        <f t="shared" ca="1" si="8"/>
        <v>1</v>
      </c>
      <c r="Z96" s="660">
        <f t="shared" ca="1" si="9"/>
        <v>0.37173643421781832</v>
      </c>
      <c r="AA96" s="240">
        <f t="shared" ca="1" si="10"/>
        <v>0.51987328178007741</v>
      </c>
      <c r="AB96" s="240">
        <f t="shared" ca="1" si="11"/>
        <v>0.37119999999999997</v>
      </c>
      <c r="AC96" s="240">
        <f t="shared" ca="1" si="12"/>
        <v>0.58396999999999999</v>
      </c>
      <c r="AD96" s="663">
        <f t="shared" ca="1" si="13"/>
        <v>0.46169492899947395</v>
      </c>
    </row>
    <row r="97" spans="24:30" x14ac:dyDescent="0.2">
      <c r="X97" s="361">
        <f t="shared" ca="1" si="7"/>
        <v>8</v>
      </c>
      <c r="Y97" s="5">
        <f t="shared" ca="1" si="8"/>
        <v>4.1670869999999995</v>
      </c>
      <c r="Z97" s="660">
        <f t="shared" ca="1" si="9"/>
        <v>0.76530996058067291</v>
      </c>
      <c r="AA97" s="240">
        <f t="shared" ca="1" si="10"/>
        <v>1.9168240158774117</v>
      </c>
      <c r="AB97" s="240">
        <f t="shared" ca="1" si="11"/>
        <v>0.91213845959999984</v>
      </c>
      <c r="AC97" s="240">
        <f t="shared" ca="1" si="12"/>
        <v>1.4680623360499998</v>
      </c>
      <c r="AD97" s="663">
        <f t="shared" ca="1" si="13"/>
        <v>1.265583693027021</v>
      </c>
    </row>
    <row r="98" spans="24:30" x14ac:dyDescent="0.2">
      <c r="X98" s="361">
        <f t="shared" ca="1" si="7"/>
        <v>20</v>
      </c>
      <c r="Y98" s="5">
        <f t="shared" ca="1" si="8"/>
        <v>1</v>
      </c>
      <c r="Z98" s="660">
        <f t="shared" ca="1" si="9"/>
        <v>0.37173643421781832</v>
      </c>
      <c r="AA98" s="240">
        <f t="shared" ca="1" si="10"/>
        <v>0.51987328178007741</v>
      </c>
      <c r="AB98" s="240">
        <f t="shared" ca="1" si="11"/>
        <v>0.37119999999999997</v>
      </c>
      <c r="AC98" s="240">
        <f t="shared" ca="1" si="12"/>
        <v>0.58396999999999999</v>
      </c>
      <c r="AD98" s="663">
        <f t="shared" ca="1" si="13"/>
        <v>0.46169492899947395</v>
      </c>
    </row>
    <row r="99" spans="24:30" x14ac:dyDescent="0.2">
      <c r="X99" s="361">
        <f t="shared" ca="1" si="7"/>
        <v>9</v>
      </c>
      <c r="Y99" s="5">
        <f t="shared" ca="1" si="8"/>
        <v>3.6748969999999996</v>
      </c>
      <c r="Z99" s="660">
        <f t="shared" ca="1" si="9"/>
        <v>0.68407092857537966</v>
      </c>
      <c r="AA99" s="240">
        <f t="shared" ca="1" si="10"/>
        <v>1.5650024320428637</v>
      </c>
      <c r="AB99" s="240">
        <f t="shared" ca="1" si="11"/>
        <v>0.82807240759999989</v>
      </c>
      <c r="AC99" s="240">
        <f t="shared" ca="1" si="12"/>
        <v>1.3306674975499999</v>
      </c>
      <c r="AD99" s="663">
        <f t="shared" ca="1" si="13"/>
        <v>1.101953316442061</v>
      </c>
    </row>
    <row r="100" spans="24:30" x14ac:dyDescent="0.2">
      <c r="X100" s="361">
        <f t="shared" ca="1" si="7"/>
        <v>15</v>
      </c>
      <c r="Y100" s="5">
        <f t="shared" ca="1" si="8"/>
        <v>1</v>
      </c>
      <c r="Z100" s="660">
        <f t="shared" ca="1" si="9"/>
        <v>0.37173643421781832</v>
      </c>
      <c r="AA100" s="240">
        <f t="shared" ca="1" si="10"/>
        <v>0.51987328178007741</v>
      </c>
      <c r="AB100" s="240">
        <f t="shared" ca="1" si="11"/>
        <v>0.37119999999999997</v>
      </c>
      <c r="AC100" s="240">
        <f t="shared" ca="1" si="12"/>
        <v>0.58396999999999999</v>
      </c>
      <c r="AD100" s="663">
        <f t="shared" ca="1" si="13"/>
        <v>0.46169492899947395</v>
      </c>
    </row>
    <row r="101" spans="24:30" x14ac:dyDescent="0.2">
      <c r="X101" s="361">
        <f t="shared" ca="1" si="7"/>
        <v>15</v>
      </c>
      <c r="Y101" s="5">
        <f t="shared" ca="1" si="8"/>
        <v>1</v>
      </c>
      <c r="Z101" s="660">
        <f t="shared" ca="1" si="9"/>
        <v>0.37173643421781832</v>
      </c>
      <c r="AA101" s="240">
        <f t="shared" ca="1" si="10"/>
        <v>0.51987328178007741</v>
      </c>
      <c r="AB101" s="240">
        <f t="shared" ca="1" si="11"/>
        <v>0.37119999999999997</v>
      </c>
      <c r="AC101" s="240">
        <f t="shared" ca="1" si="12"/>
        <v>0.58396999999999999</v>
      </c>
      <c r="AD101" s="663">
        <f t="shared" ca="1" si="13"/>
        <v>0.46169492899947395</v>
      </c>
    </row>
    <row r="102" spans="24:30" x14ac:dyDescent="0.2">
      <c r="X102" s="361">
        <f t="shared" ca="1" si="7"/>
        <v>17</v>
      </c>
      <c r="Y102" s="5">
        <f t="shared" ca="1" si="8"/>
        <v>1</v>
      </c>
      <c r="Z102" s="660">
        <f t="shared" ca="1" si="9"/>
        <v>0.37173643421781832</v>
      </c>
      <c r="AA102" s="240">
        <f t="shared" ca="1" si="10"/>
        <v>0.51987328178007741</v>
      </c>
      <c r="AB102" s="240">
        <f t="shared" ca="1" si="11"/>
        <v>0.37119999999999997</v>
      </c>
      <c r="AC102" s="240">
        <f t="shared" ca="1" si="12"/>
        <v>0.58396999999999999</v>
      </c>
      <c r="AD102" s="663">
        <f t="shared" ca="1" si="13"/>
        <v>0.46169492899947395</v>
      </c>
    </row>
    <row r="103" spans="24:30" x14ac:dyDescent="0.2">
      <c r="X103" s="361">
        <f t="shared" ca="1" si="7"/>
        <v>23</v>
      </c>
      <c r="Y103" s="5">
        <f t="shared" ca="1" si="8"/>
        <v>1</v>
      </c>
      <c r="Z103" s="660">
        <f t="shared" ca="1" si="9"/>
        <v>0.37173643421781832</v>
      </c>
      <c r="AA103" s="240">
        <f t="shared" ca="1" si="10"/>
        <v>0.51987328178007741</v>
      </c>
      <c r="AB103" s="240">
        <f t="shared" ca="1" si="11"/>
        <v>0.37119999999999997</v>
      </c>
      <c r="AC103" s="240">
        <f t="shared" ca="1" si="12"/>
        <v>0.58396999999999999</v>
      </c>
      <c r="AD103" s="663">
        <f t="shared" ca="1" si="13"/>
        <v>0.46169492899947395</v>
      </c>
    </row>
    <row r="104" spans="24:30" x14ac:dyDescent="0.2">
      <c r="X104" s="361">
        <f t="shared" ca="1" si="7"/>
        <v>25</v>
      </c>
      <c r="Y104" s="5">
        <f t="shared" ca="1" si="8"/>
        <v>1</v>
      </c>
      <c r="Z104" s="660">
        <f t="shared" ca="1" si="9"/>
        <v>0.37173643421781832</v>
      </c>
      <c r="AA104" s="240">
        <f t="shared" ca="1" si="10"/>
        <v>0.51987328178007741</v>
      </c>
      <c r="AB104" s="240">
        <f t="shared" ca="1" si="11"/>
        <v>0.37119999999999997</v>
      </c>
      <c r="AC104" s="240">
        <f t="shared" ca="1" si="12"/>
        <v>0.58396999999999999</v>
      </c>
      <c r="AD104" s="663">
        <f t="shared" ca="1" si="13"/>
        <v>0.46169492899947395</v>
      </c>
    </row>
    <row r="105" spans="24:30" x14ac:dyDescent="0.2">
      <c r="X105" s="361">
        <f t="shared" ca="1" si="7"/>
        <v>30</v>
      </c>
      <c r="Y105" s="5">
        <f t="shared" ca="1" si="8"/>
        <v>1</v>
      </c>
      <c r="Z105" s="660">
        <f t="shared" ca="1" si="9"/>
        <v>0.37173643421781832</v>
      </c>
      <c r="AA105" s="240">
        <f t="shared" ca="1" si="10"/>
        <v>0.51987328178007741</v>
      </c>
      <c r="AB105" s="240">
        <f t="shared" ca="1" si="11"/>
        <v>0.37119999999999997</v>
      </c>
      <c r="AC105" s="240">
        <f t="shared" ca="1" si="12"/>
        <v>0.58396999999999999</v>
      </c>
      <c r="AD105" s="663">
        <f t="shared" ca="1" si="13"/>
        <v>0.46169492899947395</v>
      </c>
    </row>
    <row r="106" spans="24:30" x14ac:dyDescent="0.2">
      <c r="X106" s="361">
        <f t="shared" ca="1" si="7"/>
        <v>17</v>
      </c>
      <c r="Y106" s="5">
        <f t="shared" ca="1" si="8"/>
        <v>1</v>
      </c>
      <c r="Z106" s="660">
        <f t="shared" ca="1" si="9"/>
        <v>0.37173643421781832</v>
      </c>
      <c r="AA106" s="240">
        <f t="shared" ca="1" si="10"/>
        <v>0.51987328178007741</v>
      </c>
      <c r="AB106" s="240">
        <f t="shared" ca="1" si="11"/>
        <v>0.37119999999999997</v>
      </c>
      <c r="AC106" s="240">
        <f t="shared" ca="1" si="12"/>
        <v>0.58396999999999999</v>
      </c>
      <c r="AD106" s="663">
        <f t="shared" ca="1" si="13"/>
        <v>0.46169492899947395</v>
      </c>
    </row>
    <row r="107" spans="24:30" x14ac:dyDescent="0.2">
      <c r="X107" s="361">
        <f t="shared" ca="1" si="7"/>
        <v>20</v>
      </c>
      <c r="Y107" s="5">
        <f t="shared" ca="1" si="8"/>
        <v>1</v>
      </c>
      <c r="Z107" s="660">
        <f t="shared" ca="1" si="9"/>
        <v>0.37173643421781832</v>
      </c>
      <c r="AA107" s="240">
        <f t="shared" ca="1" si="10"/>
        <v>0.51987328178007741</v>
      </c>
      <c r="AB107" s="240">
        <f t="shared" ca="1" si="11"/>
        <v>0.37119999999999997</v>
      </c>
      <c r="AC107" s="240">
        <f t="shared" ca="1" si="12"/>
        <v>0.58396999999999999</v>
      </c>
      <c r="AD107" s="663">
        <f t="shared" ca="1" si="13"/>
        <v>0.46169492899947395</v>
      </c>
    </row>
    <row r="108" spans="24:30" x14ac:dyDescent="0.2">
      <c r="X108" s="361">
        <f t="shared" ca="1" si="7"/>
        <v>22</v>
      </c>
      <c r="Y108" s="5">
        <f t="shared" ca="1" si="8"/>
        <v>1</v>
      </c>
      <c r="Z108" s="660">
        <f t="shared" ca="1" si="9"/>
        <v>0.37173643421781832</v>
      </c>
      <c r="AA108" s="240">
        <f t="shared" ca="1" si="10"/>
        <v>0.51987328178007741</v>
      </c>
      <c r="AB108" s="240">
        <f t="shared" ca="1" si="11"/>
        <v>0.37119999999999997</v>
      </c>
      <c r="AC108" s="240">
        <f t="shared" ca="1" si="12"/>
        <v>0.58396999999999999</v>
      </c>
      <c r="AD108" s="663">
        <f t="shared" ca="1" si="13"/>
        <v>0.46169492899947395</v>
      </c>
    </row>
    <row r="109" spans="24:30" x14ac:dyDescent="0.2">
      <c r="X109" s="361">
        <f t="shared" ca="1" si="7"/>
        <v>10</v>
      </c>
      <c r="Y109" s="5">
        <f t="shared" ca="1" si="8"/>
        <v>3.1827069999999997</v>
      </c>
      <c r="Z109" s="660">
        <f t="shared" ca="1" si="9"/>
        <v>0.61145556627399278</v>
      </c>
      <c r="AA109" s="240">
        <f t="shared" ca="1" si="10"/>
        <v>1.2777555957211661</v>
      </c>
      <c r="AB109" s="240">
        <f t="shared" ca="1" si="11"/>
        <v>0.74400635559999984</v>
      </c>
      <c r="AC109" s="240">
        <f t="shared" ca="1" si="12"/>
        <v>1.1932726590499998</v>
      </c>
      <c r="AD109" s="663">
        <f t="shared" ca="1" si="13"/>
        <v>0.95662254416128967</v>
      </c>
    </row>
    <row r="110" spans="24:30" x14ac:dyDescent="0.2">
      <c r="X110" s="361">
        <f t="shared" ca="1" si="7"/>
        <v>20</v>
      </c>
      <c r="Y110" s="5">
        <f t="shared" ca="1" si="8"/>
        <v>1</v>
      </c>
      <c r="Z110" s="660">
        <f t="shared" ca="1" si="9"/>
        <v>0.37173643421781832</v>
      </c>
      <c r="AA110" s="240">
        <f t="shared" ca="1" si="10"/>
        <v>0.51987328178007741</v>
      </c>
      <c r="AB110" s="240">
        <f t="shared" ca="1" si="11"/>
        <v>0.37119999999999997</v>
      </c>
      <c r="AC110" s="240">
        <f t="shared" ca="1" si="12"/>
        <v>0.58396999999999999</v>
      </c>
      <c r="AD110" s="663">
        <f t="shared" ca="1" si="13"/>
        <v>0.46169492899947395</v>
      </c>
    </row>
    <row r="111" spans="24:30" x14ac:dyDescent="0.2">
      <c r="X111" s="361">
        <f t="shared" ca="1" si="7"/>
        <v>16</v>
      </c>
      <c r="Y111" s="5">
        <f t="shared" ca="1" si="8"/>
        <v>1</v>
      </c>
      <c r="Z111" s="660">
        <f t="shared" ca="1" si="9"/>
        <v>0.37173643421781832</v>
      </c>
      <c r="AA111" s="240">
        <f t="shared" ca="1" si="10"/>
        <v>0.51987328178007741</v>
      </c>
      <c r="AB111" s="240">
        <f t="shared" ca="1" si="11"/>
        <v>0.37119999999999997</v>
      </c>
      <c r="AC111" s="240">
        <f t="shared" ca="1" si="12"/>
        <v>0.58396999999999999</v>
      </c>
      <c r="AD111" s="663">
        <f t="shared" ca="1" si="13"/>
        <v>0.46169492899947395</v>
      </c>
    </row>
    <row r="112" spans="24:30" x14ac:dyDescent="0.2">
      <c r="X112" s="361">
        <f t="shared" ca="1" si="7"/>
        <v>9</v>
      </c>
      <c r="Y112" s="5">
        <f t="shared" ca="1" si="8"/>
        <v>3.6748969999999996</v>
      </c>
      <c r="Z112" s="660">
        <f t="shared" ca="1" si="9"/>
        <v>0.68407092857537966</v>
      </c>
      <c r="AA112" s="240">
        <f t="shared" ca="1" si="10"/>
        <v>1.5650024320428637</v>
      </c>
      <c r="AB112" s="240">
        <f t="shared" ca="1" si="11"/>
        <v>0.82807240759999989</v>
      </c>
      <c r="AC112" s="240">
        <f t="shared" ca="1" si="12"/>
        <v>1.3306674975499999</v>
      </c>
      <c r="AD112" s="663">
        <f t="shared" ca="1" si="13"/>
        <v>1.101953316442061</v>
      </c>
    </row>
    <row r="113" spans="24:30" x14ac:dyDescent="0.2">
      <c r="X113" s="361">
        <f t="shared" ca="1" si="7"/>
        <v>12</v>
      </c>
      <c r="Y113" s="5">
        <f t="shared" ca="1" si="8"/>
        <v>2.198326999999999</v>
      </c>
      <c r="Z113" s="660">
        <f t="shared" ca="1" si="9"/>
        <v>0.48853135172025192</v>
      </c>
      <c r="AA113" s="240">
        <f t="shared" ca="1" si="10"/>
        <v>0.85175235121906223</v>
      </c>
      <c r="AB113" s="240">
        <f t="shared" ca="1" si="11"/>
        <v>0.57587425159999983</v>
      </c>
      <c r="AC113" s="240">
        <f t="shared" ca="1" si="12"/>
        <v>0.91848298204999967</v>
      </c>
      <c r="AD113" s="663">
        <f t="shared" ca="1" si="13"/>
        <v>0.70866023414732837</v>
      </c>
    </row>
    <row r="114" spans="24:30" x14ac:dyDescent="0.2">
      <c r="X114" s="361">
        <f t="shared" ca="1" si="7"/>
        <v>10</v>
      </c>
      <c r="Y114" s="5">
        <f t="shared" ca="1" si="8"/>
        <v>3.1827069999999997</v>
      </c>
      <c r="Z114" s="660">
        <f t="shared" ca="1" si="9"/>
        <v>0.61145556627399278</v>
      </c>
      <c r="AA114" s="240">
        <f t="shared" ca="1" si="10"/>
        <v>1.2777555957211661</v>
      </c>
      <c r="AB114" s="240">
        <f t="shared" ca="1" si="11"/>
        <v>0.74400635559999984</v>
      </c>
      <c r="AC114" s="240">
        <f t="shared" ca="1" si="12"/>
        <v>1.1932726590499998</v>
      </c>
      <c r="AD114" s="663">
        <f t="shared" ca="1" si="13"/>
        <v>0.95662254416128967</v>
      </c>
    </row>
    <row r="115" spans="24:30" x14ac:dyDescent="0.2">
      <c r="X115" s="361">
        <f t="shared" ca="1" si="7"/>
        <v>8</v>
      </c>
      <c r="Y115" s="5">
        <f t="shared" ca="1" si="8"/>
        <v>4.1670869999999995</v>
      </c>
      <c r="Z115" s="660">
        <f t="shared" ca="1" si="9"/>
        <v>0.76530996058067291</v>
      </c>
      <c r="AA115" s="240">
        <f t="shared" ca="1" si="10"/>
        <v>1.9168240158774117</v>
      </c>
      <c r="AB115" s="240">
        <f t="shared" ca="1" si="11"/>
        <v>0.91213845959999984</v>
      </c>
      <c r="AC115" s="240">
        <f t="shared" ca="1" si="12"/>
        <v>1.4680623360499998</v>
      </c>
      <c r="AD115" s="663">
        <f t="shared" ca="1" si="13"/>
        <v>1.265583693027021</v>
      </c>
    </row>
    <row r="116" spans="24:30" x14ac:dyDescent="0.2">
      <c r="X116" s="361">
        <f t="shared" ca="1" si="7"/>
        <v>8</v>
      </c>
      <c r="Y116" s="5">
        <f t="shared" ca="1" si="8"/>
        <v>4.1670869999999995</v>
      </c>
      <c r="Z116" s="660">
        <f t="shared" ca="1" si="9"/>
        <v>0.76530996058067291</v>
      </c>
      <c r="AA116" s="240">
        <f t="shared" ca="1" si="10"/>
        <v>1.9168240158774117</v>
      </c>
      <c r="AB116" s="240">
        <f t="shared" ca="1" si="11"/>
        <v>0.91213845959999984</v>
      </c>
      <c r="AC116" s="240">
        <f t="shared" ca="1" si="12"/>
        <v>1.4680623360499998</v>
      </c>
      <c r="AD116" s="663">
        <f t="shared" ca="1" si="13"/>
        <v>1.265583693027021</v>
      </c>
    </row>
    <row r="117" spans="24:30" x14ac:dyDescent="0.2">
      <c r="X117" s="361">
        <f t="shared" ca="1" si="7"/>
        <v>29</v>
      </c>
      <c r="Y117" s="5">
        <f t="shared" ca="1" si="8"/>
        <v>1</v>
      </c>
      <c r="Z117" s="660">
        <f t="shared" ca="1" si="9"/>
        <v>0.37173643421781832</v>
      </c>
      <c r="AA117" s="240">
        <f t="shared" ca="1" si="10"/>
        <v>0.51987328178007741</v>
      </c>
      <c r="AB117" s="240">
        <f t="shared" ca="1" si="11"/>
        <v>0.37119999999999997</v>
      </c>
      <c r="AC117" s="240">
        <f t="shared" ca="1" si="12"/>
        <v>0.58396999999999999</v>
      </c>
      <c r="AD117" s="663">
        <f t="shared" ca="1" si="13"/>
        <v>0.46169492899947395</v>
      </c>
    </row>
    <row r="118" spans="24:30" x14ac:dyDescent="0.2">
      <c r="X118" s="361">
        <f t="shared" ca="1" si="7"/>
        <v>9</v>
      </c>
      <c r="Y118" s="5">
        <f t="shared" ca="1" si="8"/>
        <v>3.6748969999999996</v>
      </c>
      <c r="Z118" s="660">
        <f t="shared" ca="1" si="9"/>
        <v>0.68407092857537966</v>
      </c>
      <c r="AA118" s="240">
        <f t="shared" ca="1" si="10"/>
        <v>1.5650024320428637</v>
      </c>
      <c r="AB118" s="240">
        <f t="shared" ca="1" si="11"/>
        <v>0.82807240759999989</v>
      </c>
      <c r="AC118" s="240">
        <f t="shared" ca="1" si="12"/>
        <v>1.3306674975499999</v>
      </c>
      <c r="AD118" s="663">
        <f t="shared" ca="1" si="13"/>
        <v>1.101953316442061</v>
      </c>
    </row>
    <row r="119" spans="24:30" x14ac:dyDescent="0.2">
      <c r="X119" s="361">
        <f t="shared" ca="1" si="7"/>
        <v>26</v>
      </c>
      <c r="Y119" s="5">
        <f t="shared" ca="1" si="8"/>
        <v>1</v>
      </c>
      <c r="Z119" s="660">
        <f t="shared" ca="1" si="9"/>
        <v>0.37173643421781832</v>
      </c>
      <c r="AA119" s="240">
        <f t="shared" ca="1" si="10"/>
        <v>0.51987328178007741</v>
      </c>
      <c r="AB119" s="240">
        <f t="shared" ca="1" si="11"/>
        <v>0.37119999999999997</v>
      </c>
      <c r="AC119" s="240">
        <f t="shared" ca="1" si="12"/>
        <v>0.58396999999999999</v>
      </c>
      <c r="AD119" s="663">
        <f t="shared" ca="1" si="13"/>
        <v>0.46169492899947395</v>
      </c>
    </row>
    <row r="120" spans="24:30" x14ac:dyDescent="0.2">
      <c r="X120" s="361">
        <f t="shared" ref="X120:X183" ca="1" si="14">RANDBETWEEN(7,30)</f>
        <v>28</v>
      </c>
      <c r="Y120" s="5">
        <f t="shared" ref="Y120:Y183" ca="1" si="15">MAX(1,8.104607-0.49219*(X120))</f>
        <v>1</v>
      </c>
      <c r="Z120" s="660">
        <f t="shared" ref="Z120:Z183" ca="1" si="16">EXP(3.6021+0.228*Y120-0.2145)/100</f>
        <v>0.37173643421781832</v>
      </c>
      <c r="AA120" s="240">
        <f t="shared" ref="AA120:AA183" ca="1" si="17">EXP(3.539+0.412*Y120)/100</f>
        <v>0.51987328178007741</v>
      </c>
      <c r="AB120" s="240">
        <f t="shared" ref="AB120:AB183" ca="1" si="18">(20.04+17.08*Y120)/100</f>
        <v>0.37119999999999997</v>
      </c>
      <c r="AC120" s="240">
        <f t="shared" ref="AC120:AC183" ca="1" si="19">(30.482+27.915*Y120)/100</f>
        <v>0.58396999999999999</v>
      </c>
      <c r="AD120" s="663">
        <f t="shared" ref="AD120:AD183" ca="1" si="20">AVERAGE(Z120:AC120)</f>
        <v>0.46169492899947395</v>
      </c>
    </row>
    <row r="121" spans="24:30" x14ac:dyDescent="0.2">
      <c r="X121" s="361">
        <f t="shared" ca="1" si="14"/>
        <v>30</v>
      </c>
      <c r="Y121" s="5">
        <f t="shared" ca="1" si="15"/>
        <v>1</v>
      </c>
      <c r="Z121" s="660">
        <f t="shared" ca="1" si="16"/>
        <v>0.37173643421781832</v>
      </c>
      <c r="AA121" s="240">
        <f t="shared" ca="1" si="17"/>
        <v>0.51987328178007741</v>
      </c>
      <c r="AB121" s="240">
        <f t="shared" ca="1" si="18"/>
        <v>0.37119999999999997</v>
      </c>
      <c r="AC121" s="240">
        <f t="shared" ca="1" si="19"/>
        <v>0.58396999999999999</v>
      </c>
      <c r="AD121" s="663">
        <f t="shared" ca="1" si="20"/>
        <v>0.46169492899947395</v>
      </c>
    </row>
    <row r="122" spans="24:30" x14ac:dyDescent="0.2">
      <c r="X122" s="361">
        <f t="shared" ca="1" si="14"/>
        <v>10</v>
      </c>
      <c r="Y122" s="5">
        <f t="shared" ca="1" si="15"/>
        <v>3.1827069999999997</v>
      </c>
      <c r="Z122" s="660">
        <f t="shared" ca="1" si="16"/>
        <v>0.61145556627399278</v>
      </c>
      <c r="AA122" s="240">
        <f t="shared" ca="1" si="17"/>
        <v>1.2777555957211661</v>
      </c>
      <c r="AB122" s="240">
        <f t="shared" ca="1" si="18"/>
        <v>0.74400635559999984</v>
      </c>
      <c r="AC122" s="240">
        <f t="shared" ca="1" si="19"/>
        <v>1.1932726590499998</v>
      </c>
      <c r="AD122" s="663">
        <f t="shared" ca="1" si="20"/>
        <v>0.95662254416128967</v>
      </c>
    </row>
    <row r="123" spans="24:30" x14ac:dyDescent="0.2">
      <c r="X123" s="361">
        <f t="shared" ca="1" si="14"/>
        <v>30</v>
      </c>
      <c r="Y123" s="5">
        <f t="shared" ca="1" si="15"/>
        <v>1</v>
      </c>
      <c r="Z123" s="660">
        <f t="shared" ca="1" si="16"/>
        <v>0.37173643421781832</v>
      </c>
      <c r="AA123" s="240">
        <f t="shared" ca="1" si="17"/>
        <v>0.51987328178007741</v>
      </c>
      <c r="AB123" s="240">
        <f t="shared" ca="1" si="18"/>
        <v>0.37119999999999997</v>
      </c>
      <c r="AC123" s="240">
        <f t="shared" ca="1" si="19"/>
        <v>0.58396999999999999</v>
      </c>
      <c r="AD123" s="663">
        <f t="shared" ca="1" si="20"/>
        <v>0.46169492899947395</v>
      </c>
    </row>
    <row r="124" spans="24:30" x14ac:dyDescent="0.2">
      <c r="X124" s="361">
        <f t="shared" ca="1" si="14"/>
        <v>8</v>
      </c>
      <c r="Y124" s="5">
        <f t="shared" ca="1" si="15"/>
        <v>4.1670869999999995</v>
      </c>
      <c r="Z124" s="660">
        <f t="shared" ca="1" si="16"/>
        <v>0.76530996058067291</v>
      </c>
      <c r="AA124" s="240">
        <f t="shared" ca="1" si="17"/>
        <v>1.9168240158774117</v>
      </c>
      <c r="AB124" s="240">
        <f t="shared" ca="1" si="18"/>
        <v>0.91213845959999984</v>
      </c>
      <c r="AC124" s="240">
        <f t="shared" ca="1" si="19"/>
        <v>1.4680623360499998</v>
      </c>
      <c r="AD124" s="663">
        <f t="shared" ca="1" si="20"/>
        <v>1.265583693027021</v>
      </c>
    </row>
    <row r="125" spans="24:30" x14ac:dyDescent="0.2">
      <c r="X125" s="361">
        <f t="shared" ca="1" si="14"/>
        <v>13</v>
      </c>
      <c r="Y125" s="5">
        <f t="shared" ca="1" si="15"/>
        <v>1.7061369999999991</v>
      </c>
      <c r="Z125" s="660">
        <f t="shared" ca="1" si="16"/>
        <v>0.43667286801793892</v>
      </c>
      <c r="AA125" s="240">
        <f t="shared" ca="1" si="17"/>
        <v>0.69541830137488747</v>
      </c>
      <c r="AB125" s="240">
        <f t="shared" ca="1" si="18"/>
        <v>0.49180819959999977</v>
      </c>
      <c r="AC125" s="240">
        <f t="shared" ca="1" si="19"/>
        <v>0.78108814354999967</v>
      </c>
      <c r="AD125" s="663">
        <f t="shared" ca="1" si="20"/>
        <v>0.60124687813570654</v>
      </c>
    </row>
    <row r="126" spans="24:30" x14ac:dyDescent="0.2">
      <c r="X126" s="361">
        <f t="shared" ca="1" si="14"/>
        <v>17</v>
      </c>
      <c r="Y126" s="5">
        <f t="shared" ca="1" si="15"/>
        <v>1</v>
      </c>
      <c r="Z126" s="660">
        <f t="shared" ca="1" si="16"/>
        <v>0.37173643421781832</v>
      </c>
      <c r="AA126" s="240">
        <f t="shared" ca="1" si="17"/>
        <v>0.51987328178007741</v>
      </c>
      <c r="AB126" s="240">
        <f t="shared" ca="1" si="18"/>
        <v>0.37119999999999997</v>
      </c>
      <c r="AC126" s="240">
        <f t="shared" ca="1" si="19"/>
        <v>0.58396999999999999</v>
      </c>
      <c r="AD126" s="663">
        <f t="shared" ca="1" si="20"/>
        <v>0.46169492899947395</v>
      </c>
    </row>
    <row r="127" spans="24:30" x14ac:dyDescent="0.2">
      <c r="X127" s="361">
        <f t="shared" ca="1" si="14"/>
        <v>7</v>
      </c>
      <c r="Y127" s="5">
        <f t="shared" ca="1" si="15"/>
        <v>4.6592769999999994</v>
      </c>
      <c r="Z127" s="660">
        <f t="shared" ca="1" si="16"/>
        <v>0.85619679377947933</v>
      </c>
      <c r="AA127" s="240">
        <f t="shared" ca="1" si="17"/>
        <v>2.3477371233527737</v>
      </c>
      <c r="AB127" s="240">
        <f t="shared" ca="1" si="18"/>
        <v>0.9962045115999999</v>
      </c>
      <c r="AC127" s="240">
        <f t="shared" ca="1" si="19"/>
        <v>1.6054571745499999</v>
      </c>
      <c r="AD127" s="663">
        <f t="shared" ca="1" si="20"/>
        <v>1.4513989008205632</v>
      </c>
    </row>
    <row r="128" spans="24:30" x14ac:dyDescent="0.2">
      <c r="X128" s="361">
        <f t="shared" ca="1" si="14"/>
        <v>11</v>
      </c>
      <c r="Y128" s="5">
        <f t="shared" ca="1" si="15"/>
        <v>2.6905169999999998</v>
      </c>
      <c r="Z128" s="660">
        <f t="shared" ca="1" si="16"/>
        <v>0.54654845559081566</v>
      </c>
      <c r="AA128" s="240">
        <f t="shared" ca="1" si="17"/>
        <v>1.0432311982196549</v>
      </c>
      <c r="AB128" s="240">
        <f t="shared" ca="1" si="18"/>
        <v>0.65994030359999978</v>
      </c>
      <c r="AC128" s="240">
        <f t="shared" ca="1" si="19"/>
        <v>1.0558778205499999</v>
      </c>
      <c r="AD128" s="663">
        <f t="shared" ca="1" si="20"/>
        <v>0.82639944449011771</v>
      </c>
    </row>
    <row r="129" spans="24:30" x14ac:dyDescent="0.2">
      <c r="X129" s="361">
        <f t="shared" ca="1" si="14"/>
        <v>25</v>
      </c>
      <c r="Y129" s="5">
        <f t="shared" ca="1" si="15"/>
        <v>1</v>
      </c>
      <c r="Z129" s="660">
        <f t="shared" ca="1" si="16"/>
        <v>0.37173643421781832</v>
      </c>
      <c r="AA129" s="240">
        <f t="shared" ca="1" si="17"/>
        <v>0.51987328178007741</v>
      </c>
      <c r="AB129" s="240">
        <f t="shared" ca="1" si="18"/>
        <v>0.37119999999999997</v>
      </c>
      <c r="AC129" s="240">
        <f t="shared" ca="1" si="19"/>
        <v>0.58396999999999999</v>
      </c>
      <c r="AD129" s="663">
        <f t="shared" ca="1" si="20"/>
        <v>0.46169492899947395</v>
      </c>
    </row>
    <row r="130" spans="24:30" x14ac:dyDescent="0.2">
      <c r="X130" s="361">
        <f t="shared" ca="1" si="14"/>
        <v>29</v>
      </c>
      <c r="Y130" s="5">
        <f t="shared" ca="1" si="15"/>
        <v>1</v>
      </c>
      <c r="Z130" s="660">
        <f t="shared" ca="1" si="16"/>
        <v>0.37173643421781832</v>
      </c>
      <c r="AA130" s="240">
        <f t="shared" ca="1" si="17"/>
        <v>0.51987328178007741</v>
      </c>
      <c r="AB130" s="240">
        <f t="shared" ca="1" si="18"/>
        <v>0.37119999999999997</v>
      </c>
      <c r="AC130" s="240">
        <f t="shared" ca="1" si="19"/>
        <v>0.58396999999999999</v>
      </c>
      <c r="AD130" s="663">
        <f t="shared" ca="1" si="20"/>
        <v>0.46169492899947395</v>
      </c>
    </row>
    <row r="131" spans="24:30" x14ac:dyDescent="0.2">
      <c r="X131" s="361">
        <f t="shared" ca="1" si="14"/>
        <v>29</v>
      </c>
      <c r="Y131" s="5">
        <f t="shared" ca="1" si="15"/>
        <v>1</v>
      </c>
      <c r="Z131" s="660">
        <f t="shared" ca="1" si="16"/>
        <v>0.37173643421781832</v>
      </c>
      <c r="AA131" s="240">
        <f t="shared" ca="1" si="17"/>
        <v>0.51987328178007741</v>
      </c>
      <c r="AB131" s="240">
        <f t="shared" ca="1" si="18"/>
        <v>0.37119999999999997</v>
      </c>
      <c r="AC131" s="240">
        <f t="shared" ca="1" si="19"/>
        <v>0.58396999999999999</v>
      </c>
      <c r="AD131" s="663">
        <f t="shared" ca="1" si="20"/>
        <v>0.46169492899947395</v>
      </c>
    </row>
    <row r="132" spans="24:30" x14ac:dyDescent="0.2">
      <c r="X132" s="361">
        <f t="shared" ca="1" si="14"/>
        <v>25</v>
      </c>
      <c r="Y132" s="5">
        <f t="shared" ca="1" si="15"/>
        <v>1</v>
      </c>
      <c r="Z132" s="660">
        <f t="shared" ca="1" si="16"/>
        <v>0.37173643421781832</v>
      </c>
      <c r="AA132" s="240">
        <f t="shared" ca="1" si="17"/>
        <v>0.51987328178007741</v>
      </c>
      <c r="AB132" s="240">
        <f t="shared" ca="1" si="18"/>
        <v>0.37119999999999997</v>
      </c>
      <c r="AC132" s="240">
        <f t="shared" ca="1" si="19"/>
        <v>0.58396999999999999</v>
      </c>
      <c r="AD132" s="663">
        <f t="shared" ca="1" si="20"/>
        <v>0.46169492899947395</v>
      </c>
    </row>
    <row r="133" spans="24:30" x14ac:dyDescent="0.2">
      <c r="X133" s="361">
        <f t="shared" ca="1" si="14"/>
        <v>11</v>
      </c>
      <c r="Y133" s="5">
        <f t="shared" ca="1" si="15"/>
        <v>2.6905169999999998</v>
      </c>
      <c r="Z133" s="660">
        <f t="shared" ca="1" si="16"/>
        <v>0.54654845559081566</v>
      </c>
      <c r="AA133" s="240">
        <f t="shared" ca="1" si="17"/>
        <v>1.0432311982196549</v>
      </c>
      <c r="AB133" s="240">
        <f t="shared" ca="1" si="18"/>
        <v>0.65994030359999978</v>
      </c>
      <c r="AC133" s="240">
        <f t="shared" ca="1" si="19"/>
        <v>1.0558778205499999</v>
      </c>
      <c r="AD133" s="663">
        <f t="shared" ca="1" si="20"/>
        <v>0.82639944449011771</v>
      </c>
    </row>
    <row r="134" spans="24:30" x14ac:dyDescent="0.2">
      <c r="X134" s="361">
        <f t="shared" ca="1" si="14"/>
        <v>26</v>
      </c>
      <c r="Y134" s="5">
        <f t="shared" ca="1" si="15"/>
        <v>1</v>
      </c>
      <c r="Z134" s="660">
        <f t="shared" ca="1" si="16"/>
        <v>0.37173643421781832</v>
      </c>
      <c r="AA134" s="240">
        <f t="shared" ca="1" si="17"/>
        <v>0.51987328178007741</v>
      </c>
      <c r="AB134" s="240">
        <f t="shared" ca="1" si="18"/>
        <v>0.37119999999999997</v>
      </c>
      <c r="AC134" s="240">
        <f t="shared" ca="1" si="19"/>
        <v>0.58396999999999999</v>
      </c>
      <c r="AD134" s="663">
        <f t="shared" ca="1" si="20"/>
        <v>0.46169492899947395</v>
      </c>
    </row>
    <row r="135" spans="24:30" x14ac:dyDescent="0.2">
      <c r="X135" s="361">
        <f t="shared" ca="1" si="14"/>
        <v>20</v>
      </c>
      <c r="Y135" s="5">
        <f t="shared" ca="1" si="15"/>
        <v>1</v>
      </c>
      <c r="Z135" s="660">
        <f t="shared" ca="1" si="16"/>
        <v>0.37173643421781832</v>
      </c>
      <c r="AA135" s="240">
        <f t="shared" ca="1" si="17"/>
        <v>0.51987328178007741</v>
      </c>
      <c r="AB135" s="240">
        <f t="shared" ca="1" si="18"/>
        <v>0.37119999999999997</v>
      </c>
      <c r="AC135" s="240">
        <f t="shared" ca="1" si="19"/>
        <v>0.58396999999999999</v>
      </c>
      <c r="AD135" s="663">
        <f t="shared" ca="1" si="20"/>
        <v>0.46169492899947395</v>
      </c>
    </row>
    <row r="136" spans="24:30" x14ac:dyDescent="0.2">
      <c r="X136" s="361">
        <f t="shared" ca="1" si="14"/>
        <v>23</v>
      </c>
      <c r="Y136" s="5">
        <f t="shared" ca="1" si="15"/>
        <v>1</v>
      </c>
      <c r="Z136" s="660">
        <f t="shared" ca="1" si="16"/>
        <v>0.37173643421781832</v>
      </c>
      <c r="AA136" s="240">
        <f t="shared" ca="1" si="17"/>
        <v>0.51987328178007741</v>
      </c>
      <c r="AB136" s="240">
        <f t="shared" ca="1" si="18"/>
        <v>0.37119999999999997</v>
      </c>
      <c r="AC136" s="240">
        <f t="shared" ca="1" si="19"/>
        <v>0.58396999999999999</v>
      </c>
      <c r="AD136" s="663">
        <f t="shared" ca="1" si="20"/>
        <v>0.46169492899947395</v>
      </c>
    </row>
    <row r="137" spans="24:30" x14ac:dyDescent="0.2">
      <c r="X137" s="361">
        <f t="shared" ca="1" si="14"/>
        <v>29</v>
      </c>
      <c r="Y137" s="5">
        <f t="shared" ca="1" si="15"/>
        <v>1</v>
      </c>
      <c r="Z137" s="660">
        <f t="shared" ca="1" si="16"/>
        <v>0.37173643421781832</v>
      </c>
      <c r="AA137" s="240">
        <f t="shared" ca="1" si="17"/>
        <v>0.51987328178007741</v>
      </c>
      <c r="AB137" s="240">
        <f t="shared" ca="1" si="18"/>
        <v>0.37119999999999997</v>
      </c>
      <c r="AC137" s="240">
        <f t="shared" ca="1" si="19"/>
        <v>0.58396999999999999</v>
      </c>
      <c r="AD137" s="663">
        <f t="shared" ca="1" si="20"/>
        <v>0.46169492899947395</v>
      </c>
    </row>
    <row r="138" spans="24:30" x14ac:dyDescent="0.2">
      <c r="X138" s="361">
        <f t="shared" ca="1" si="14"/>
        <v>9</v>
      </c>
      <c r="Y138" s="5">
        <f t="shared" ca="1" si="15"/>
        <v>3.6748969999999996</v>
      </c>
      <c r="Z138" s="660">
        <f t="shared" ca="1" si="16"/>
        <v>0.68407092857537966</v>
      </c>
      <c r="AA138" s="240">
        <f t="shared" ca="1" si="17"/>
        <v>1.5650024320428637</v>
      </c>
      <c r="AB138" s="240">
        <f t="shared" ca="1" si="18"/>
        <v>0.82807240759999989</v>
      </c>
      <c r="AC138" s="240">
        <f t="shared" ca="1" si="19"/>
        <v>1.3306674975499999</v>
      </c>
      <c r="AD138" s="663">
        <f t="shared" ca="1" si="20"/>
        <v>1.101953316442061</v>
      </c>
    </row>
    <row r="139" spans="24:30" x14ac:dyDescent="0.2">
      <c r="X139" s="361">
        <f t="shared" ca="1" si="14"/>
        <v>24</v>
      </c>
      <c r="Y139" s="5">
        <f t="shared" ca="1" si="15"/>
        <v>1</v>
      </c>
      <c r="Z139" s="660">
        <f t="shared" ca="1" si="16"/>
        <v>0.37173643421781832</v>
      </c>
      <c r="AA139" s="240">
        <f t="shared" ca="1" si="17"/>
        <v>0.51987328178007741</v>
      </c>
      <c r="AB139" s="240">
        <f t="shared" ca="1" si="18"/>
        <v>0.37119999999999997</v>
      </c>
      <c r="AC139" s="240">
        <f t="shared" ca="1" si="19"/>
        <v>0.58396999999999999</v>
      </c>
      <c r="AD139" s="663">
        <f t="shared" ca="1" si="20"/>
        <v>0.46169492899947395</v>
      </c>
    </row>
    <row r="140" spans="24:30" x14ac:dyDescent="0.2">
      <c r="X140" s="361">
        <f t="shared" ca="1" si="14"/>
        <v>28</v>
      </c>
      <c r="Y140" s="5">
        <f t="shared" ca="1" si="15"/>
        <v>1</v>
      </c>
      <c r="Z140" s="660">
        <f t="shared" ca="1" si="16"/>
        <v>0.37173643421781832</v>
      </c>
      <c r="AA140" s="240">
        <f t="shared" ca="1" si="17"/>
        <v>0.51987328178007741</v>
      </c>
      <c r="AB140" s="240">
        <f t="shared" ca="1" si="18"/>
        <v>0.37119999999999997</v>
      </c>
      <c r="AC140" s="240">
        <f t="shared" ca="1" si="19"/>
        <v>0.58396999999999999</v>
      </c>
      <c r="AD140" s="663">
        <f t="shared" ca="1" si="20"/>
        <v>0.46169492899947395</v>
      </c>
    </row>
    <row r="141" spans="24:30" x14ac:dyDescent="0.2">
      <c r="X141" s="361">
        <f t="shared" ca="1" si="14"/>
        <v>17</v>
      </c>
      <c r="Y141" s="5">
        <f t="shared" ca="1" si="15"/>
        <v>1</v>
      </c>
      <c r="Z141" s="660">
        <f t="shared" ca="1" si="16"/>
        <v>0.37173643421781832</v>
      </c>
      <c r="AA141" s="240">
        <f t="shared" ca="1" si="17"/>
        <v>0.51987328178007741</v>
      </c>
      <c r="AB141" s="240">
        <f t="shared" ca="1" si="18"/>
        <v>0.37119999999999997</v>
      </c>
      <c r="AC141" s="240">
        <f t="shared" ca="1" si="19"/>
        <v>0.58396999999999999</v>
      </c>
      <c r="AD141" s="663">
        <f t="shared" ca="1" si="20"/>
        <v>0.46169492899947395</v>
      </c>
    </row>
    <row r="142" spans="24:30" x14ac:dyDescent="0.2">
      <c r="X142" s="361">
        <f t="shared" ca="1" si="14"/>
        <v>22</v>
      </c>
      <c r="Y142" s="5">
        <f t="shared" ca="1" si="15"/>
        <v>1</v>
      </c>
      <c r="Z142" s="660">
        <f t="shared" ca="1" si="16"/>
        <v>0.37173643421781832</v>
      </c>
      <c r="AA142" s="240">
        <f t="shared" ca="1" si="17"/>
        <v>0.51987328178007741</v>
      </c>
      <c r="AB142" s="240">
        <f t="shared" ca="1" si="18"/>
        <v>0.37119999999999997</v>
      </c>
      <c r="AC142" s="240">
        <f t="shared" ca="1" si="19"/>
        <v>0.58396999999999999</v>
      </c>
      <c r="AD142" s="663">
        <f t="shared" ca="1" si="20"/>
        <v>0.46169492899947395</v>
      </c>
    </row>
    <row r="143" spans="24:30" x14ac:dyDescent="0.2">
      <c r="X143" s="361">
        <f t="shared" ca="1" si="14"/>
        <v>10</v>
      </c>
      <c r="Y143" s="5">
        <f t="shared" ca="1" si="15"/>
        <v>3.1827069999999997</v>
      </c>
      <c r="Z143" s="660">
        <f t="shared" ca="1" si="16"/>
        <v>0.61145556627399278</v>
      </c>
      <c r="AA143" s="240">
        <f t="shared" ca="1" si="17"/>
        <v>1.2777555957211661</v>
      </c>
      <c r="AB143" s="240">
        <f t="shared" ca="1" si="18"/>
        <v>0.74400635559999984</v>
      </c>
      <c r="AC143" s="240">
        <f t="shared" ca="1" si="19"/>
        <v>1.1932726590499998</v>
      </c>
      <c r="AD143" s="663">
        <f t="shared" ca="1" si="20"/>
        <v>0.95662254416128967</v>
      </c>
    </row>
    <row r="144" spans="24:30" x14ac:dyDescent="0.2">
      <c r="X144" s="361">
        <f t="shared" ca="1" si="14"/>
        <v>22</v>
      </c>
      <c r="Y144" s="5">
        <f t="shared" ca="1" si="15"/>
        <v>1</v>
      </c>
      <c r="Z144" s="660">
        <f t="shared" ca="1" si="16"/>
        <v>0.37173643421781832</v>
      </c>
      <c r="AA144" s="240">
        <f t="shared" ca="1" si="17"/>
        <v>0.51987328178007741</v>
      </c>
      <c r="AB144" s="240">
        <f t="shared" ca="1" si="18"/>
        <v>0.37119999999999997</v>
      </c>
      <c r="AC144" s="240">
        <f t="shared" ca="1" si="19"/>
        <v>0.58396999999999999</v>
      </c>
      <c r="AD144" s="663">
        <f t="shared" ca="1" si="20"/>
        <v>0.46169492899947395</v>
      </c>
    </row>
    <row r="145" spans="24:30" x14ac:dyDescent="0.2">
      <c r="X145" s="361">
        <f t="shared" ca="1" si="14"/>
        <v>20</v>
      </c>
      <c r="Y145" s="5">
        <f t="shared" ca="1" si="15"/>
        <v>1</v>
      </c>
      <c r="Z145" s="660">
        <f t="shared" ca="1" si="16"/>
        <v>0.37173643421781832</v>
      </c>
      <c r="AA145" s="240">
        <f t="shared" ca="1" si="17"/>
        <v>0.51987328178007741</v>
      </c>
      <c r="AB145" s="240">
        <f t="shared" ca="1" si="18"/>
        <v>0.37119999999999997</v>
      </c>
      <c r="AC145" s="240">
        <f t="shared" ca="1" si="19"/>
        <v>0.58396999999999999</v>
      </c>
      <c r="AD145" s="663">
        <f t="shared" ca="1" si="20"/>
        <v>0.46169492899947395</v>
      </c>
    </row>
    <row r="146" spans="24:30" x14ac:dyDescent="0.2">
      <c r="X146" s="361">
        <f t="shared" ca="1" si="14"/>
        <v>13</v>
      </c>
      <c r="Y146" s="5">
        <f t="shared" ca="1" si="15"/>
        <v>1.7061369999999991</v>
      </c>
      <c r="Z146" s="660">
        <f t="shared" ca="1" si="16"/>
        <v>0.43667286801793892</v>
      </c>
      <c r="AA146" s="240">
        <f t="shared" ca="1" si="17"/>
        <v>0.69541830137488747</v>
      </c>
      <c r="AB146" s="240">
        <f t="shared" ca="1" si="18"/>
        <v>0.49180819959999977</v>
      </c>
      <c r="AC146" s="240">
        <f t="shared" ca="1" si="19"/>
        <v>0.78108814354999967</v>
      </c>
      <c r="AD146" s="663">
        <f t="shared" ca="1" si="20"/>
        <v>0.60124687813570654</v>
      </c>
    </row>
    <row r="147" spans="24:30" x14ac:dyDescent="0.2">
      <c r="X147" s="361">
        <f t="shared" ca="1" si="14"/>
        <v>13</v>
      </c>
      <c r="Y147" s="5">
        <f t="shared" ca="1" si="15"/>
        <v>1.7061369999999991</v>
      </c>
      <c r="Z147" s="660">
        <f t="shared" ca="1" si="16"/>
        <v>0.43667286801793892</v>
      </c>
      <c r="AA147" s="240">
        <f t="shared" ca="1" si="17"/>
        <v>0.69541830137488747</v>
      </c>
      <c r="AB147" s="240">
        <f t="shared" ca="1" si="18"/>
        <v>0.49180819959999977</v>
      </c>
      <c r="AC147" s="240">
        <f t="shared" ca="1" si="19"/>
        <v>0.78108814354999967</v>
      </c>
      <c r="AD147" s="663">
        <f t="shared" ca="1" si="20"/>
        <v>0.60124687813570654</v>
      </c>
    </row>
    <row r="148" spans="24:30" x14ac:dyDescent="0.2">
      <c r="X148" s="361">
        <f t="shared" ca="1" si="14"/>
        <v>12</v>
      </c>
      <c r="Y148" s="5">
        <f t="shared" ca="1" si="15"/>
        <v>2.198326999999999</v>
      </c>
      <c r="Z148" s="660">
        <f t="shared" ca="1" si="16"/>
        <v>0.48853135172025192</v>
      </c>
      <c r="AA148" s="240">
        <f t="shared" ca="1" si="17"/>
        <v>0.85175235121906223</v>
      </c>
      <c r="AB148" s="240">
        <f t="shared" ca="1" si="18"/>
        <v>0.57587425159999983</v>
      </c>
      <c r="AC148" s="240">
        <f t="shared" ca="1" si="19"/>
        <v>0.91848298204999967</v>
      </c>
      <c r="AD148" s="663">
        <f t="shared" ca="1" si="20"/>
        <v>0.70866023414732837</v>
      </c>
    </row>
    <row r="149" spans="24:30" x14ac:dyDescent="0.2">
      <c r="X149" s="361">
        <f t="shared" ca="1" si="14"/>
        <v>28</v>
      </c>
      <c r="Y149" s="5">
        <f t="shared" ca="1" si="15"/>
        <v>1</v>
      </c>
      <c r="Z149" s="660">
        <f t="shared" ca="1" si="16"/>
        <v>0.37173643421781832</v>
      </c>
      <c r="AA149" s="240">
        <f t="shared" ca="1" si="17"/>
        <v>0.51987328178007741</v>
      </c>
      <c r="AB149" s="240">
        <f t="shared" ca="1" si="18"/>
        <v>0.37119999999999997</v>
      </c>
      <c r="AC149" s="240">
        <f t="shared" ca="1" si="19"/>
        <v>0.58396999999999999</v>
      </c>
      <c r="AD149" s="663">
        <f t="shared" ca="1" si="20"/>
        <v>0.46169492899947395</v>
      </c>
    </row>
    <row r="150" spans="24:30" x14ac:dyDescent="0.2">
      <c r="X150" s="361">
        <f t="shared" ca="1" si="14"/>
        <v>8</v>
      </c>
      <c r="Y150" s="5">
        <f t="shared" ca="1" si="15"/>
        <v>4.1670869999999995</v>
      </c>
      <c r="Z150" s="660">
        <f t="shared" ca="1" si="16"/>
        <v>0.76530996058067291</v>
      </c>
      <c r="AA150" s="240">
        <f t="shared" ca="1" si="17"/>
        <v>1.9168240158774117</v>
      </c>
      <c r="AB150" s="240">
        <f t="shared" ca="1" si="18"/>
        <v>0.91213845959999984</v>
      </c>
      <c r="AC150" s="240">
        <f t="shared" ca="1" si="19"/>
        <v>1.4680623360499998</v>
      </c>
      <c r="AD150" s="663">
        <f t="shared" ca="1" si="20"/>
        <v>1.265583693027021</v>
      </c>
    </row>
    <row r="151" spans="24:30" x14ac:dyDescent="0.2">
      <c r="X151" s="361">
        <f t="shared" ca="1" si="14"/>
        <v>20</v>
      </c>
      <c r="Y151" s="5">
        <f t="shared" ca="1" si="15"/>
        <v>1</v>
      </c>
      <c r="Z151" s="660">
        <f t="shared" ca="1" si="16"/>
        <v>0.37173643421781832</v>
      </c>
      <c r="AA151" s="240">
        <f t="shared" ca="1" si="17"/>
        <v>0.51987328178007741</v>
      </c>
      <c r="AB151" s="240">
        <f t="shared" ca="1" si="18"/>
        <v>0.37119999999999997</v>
      </c>
      <c r="AC151" s="240">
        <f t="shared" ca="1" si="19"/>
        <v>0.58396999999999999</v>
      </c>
      <c r="AD151" s="663">
        <f t="shared" ca="1" si="20"/>
        <v>0.46169492899947395</v>
      </c>
    </row>
    <row r="152" spans="24:30" x14ac:dyDescent="0.2">
      <c r="X152" s="361">
        <f t="shared" ca="1" si="14"/>
        <v>22</v>
      </c>
      <c r="Y152" s="5">
        <f t="shared" ca="1" si="15"/>
        <v>1</v>
      </c>
      <c r="Z152" s="660">
        <f t="shared" ca="1" si="16"/>
        <v>0.37173643421781832</v>
      </c>
      <c r="AA152" s="240">
        <f t="shared" ca="1" si="17"/>
        <v>0.51987328178007741</v>
      </c>
      <c r="AB152" s="240">
        <f t="shared" ca="1" si="18"/>
        <v>0.37119999999999997</v>
      </c>
      <c r="AC152" s="240">
        <f t="shared" ca="1" si="19"/>
        <v>0.58396999999999999</v>
      </c>
      <c r="AD152" s="663">
        <f t="shared" ca="1" si="20"/>
        <v>0.46169492899947395</v>
      </c>
    </row>
    <row r="153" spans="24:30" x14ac:dyDescent="0.2">
      <c r="X153" s="361">
        <f t="shared" ca="1" si="14"/>
        <v>29</v>
      </c>
      <c r="Y153" s="5">
        <f t="shared" ca="1" si="15"/>
        <v>1</v>
      </c>
      <c r="Z153" s="660">
        <f t="shared" ca="1" si="16"/>
        <v>0.37173643421781832</v>
      </c>
      <c r="AA153" s="240">
        <f t="shared" ca="1" si="17"/>
        <v>0.51987328178007741</v>
      </c>
      <c r="AB153" s="240">
        <f t="shared" ca="1" si="18"/>
        <v>0.37119999999999997</v>
      </c>
      <c r="AC153" s="240">
        <f t="shared" ca="1" si="19"/>
        <v>0.58396999999999999</v>
      </c>
      <c r="AD153" s="663">
        <f t="shared" ca="1" si="20"/>
        <v>0.46169492899947395</v>
      </c>
    </row>
    <row r="154" spans="24:30" x14ac:dyDescent="0.2">
      <c r="X154" s="361">
        <f t="shared" ca="1" si="14"/>
        <v>26</v>
      </c>
      <c r="Y154" s="5">
        <f t="shared" ca="1" si="15"/>
        <v>1</v>
      </c>
      <c r="Z154" s="660">
        <f t="shared" ca="1" si="16"/>
        <v>0.37173643421781832</v>
      </c>
      <c r="AA154" s="240">
        <f t="shared" ca="1" si="17"/>
        <v>0.51987328178007741</v>
      </c>
      <c r="AB154" s="240">
        <f t="shared" ca="1" si="18"/>
        <v>0.37119999999999997</v>
      </c>
      <c r="AC154" s="240">
        <f t="shared" ca="1" si="19"/>
        <v>0.58396999999999999</v>
      </c>
      <c r="AD154" s="663">
        <f t="shared" ca="1" si="20"/>
        <v>0.46169492899947395</v>
      </c>
    </row>
    <row r="155" spans="24:30" x14ac:dyDescent="0.2">
      <c r="X155" s="361">
        <f t="shared" ca="1" si="14"/>
        <v>30</v>
      </c>
      <c r="Y155" s="5">
        <f t="shared" ca="1" si="15"/>
        <v>1</v>
      </c>
      <c r="Z155" s="660">
        <f t="shared" ca="1" si="16"/>
        <v>0.37173643421781832</v>
      </c>
      <c r="AA155" s="240">
        <f t="shared" ca="1" si="17"/>
        <v>0.51987328178007741</v>
      </c>
      <c r="AB155" s="240">
        <f t="shared" ca="1" si="18"/>
        <v>0.37119999999999997</v>
      </c>
      <c r="AC155" s="240">
        <f t="shared" ca="1" si="19"/>
        <v>0.58396999999999999</v>
      </c>
      <c r="AD155" s="663">
        <f t="shared" ca="1" si="20"/>
        <v>0.46169492899947395</v>
      </c>
    </row>
    <row r="156" spans="24:30" x14ac:dyDescent="0.2">
      <c r="X156" s="361">
        <f t="shared" ca="1" si="14"/>
        <v>30</v>
      </c>
      <c r="Y156" s="5">
        <f t="shared" ca="1" si="15"/>
        <v>1</v>
      </c>
      <c r="Z156" s="660">
        <f t="shared" ca="1" si="16"/>
        <v>0.37173643421781832</v>
      </c>
      <c r="AA156" s="240">
        <f t="shared" ca="1" si="17"/>
        <v>0.51987328178007741</v>
      </c>
      <c r="AB156" s="240">
        <f t="shared" ca="1" si="18"/>
        <v>0.37119999999999997</v>
      </c>
      <c r="AC156" s="240">
        <f t="shared" ca="1" si="19"/>
        <v>0.58396999999999999</v>
      </c>
      <c r="AD156" s="663">
        <f t="shared" ca="1" si="20"/>
        <v>0.46169492899947395</v>
      </c>
    </row>
    <row r="157" spans="24:30" x14ac:dyDescent="0.2">
      <c r="X157" s="361">
        <f t="shared" ca="1" si="14"/>
        <v>30</v>
      </c>
      <c r="Y157" s="5">
        <f t="shared" ca="1" si="15"/>
        <v>1</v>
      </c>
      <c r="Z157" s="660">
        <f t="shared" ca="1" si="16"/>
        <v>0.37173643421781832</v>
      </c>
      <c r="AA157" s="240">
        <f t="shared" ca="1" si="17"/>
        <v>0.51987328178007741</v>
      </c>
      <c r="AB157" s="240">
        <f t="shared" ca="1" si="18"/>
        <v>0.37119999999999997</v>
      </c>
      <c r="AC157" s="240">
        <f t="shared" ca="1" si="19"/>
        <v>0.58396999999999999</v>
      </c>
      <c r="AD157" s="663">
        <f t="shared" ca="1" si="20"/>
        <v>0.46169492899947395</v>
      </c>
    </row>
    <row r="158" spans="24:30" x14ac:dyDescent="0.2">
      <c r="X158" s="361">
        <f t="shared" ca="1" si="14"/>
        <v>19</v>
      </c>
      <c r="Y158" s="5">
        <f t="shared" ca="1" si="15"/>
        <v>1</v>
      </c>
      <c r="Z158" s="660">
        <f t="shared" ca="1" si="16"/>
        <v>0.37173643421781832</v>
      </c>
      <c r="AA158" s="240">
        <f t="shared" ca="1" si="17"/>
        <v>0.51987328178007741</v>
      </c>
      <c r="AB158" s="240">
        <f t="shared" ca="1" si="18"/>
        <v>0.37119999999999997</v>
      </c>
      <c r="AC158" s="240">
        <f t="shared" ca="1" si="19"/>
        <v>0.58396999999999999</v>
      </c>
      <c r="AD158" s="663">
        <f t="shared" ca="1" si="20"/>
        <v>0.46169492899947395</v>
      </c>
    </row>
    <row r="159" spans="24:30" x14ac:dyDescent="0.2">
      <c r="X159" s="361">
        <f t="shared" ca="1" si="14"/>
        <v>30</v>
      </c>
      <c r="Y159" s="5">
        <f t="shared" ca="1" si="15"/>
        <v>1</v>
      </c>
      <c r="Z159" s="660">
        <f t="shared" ca="1" si="16"/>
        <v>0.37173643421781832</v>
      </c>
      <c r="AA159" s="240">
        <f t="shared" ca="1" si="17"/>
        <v>0.51987328178007741</v>
      </c>
      <c r="AB159" s="240">
        <f t="shared" ca="1" si="18"/>
        <v>0.37119999999999997</v>
      </c>
      <c r="AC159" s="240">
        <f t="shared" ca="1" si="19"/>
        <v>0.58396999999999999</v>
      </c>
      <c r="AD159" s="663">
        <f t="shared" ca="1" si="20"/>
        <v>0.46169492899947395</v>
      </c>
    </row>
    <row r="160" spans="24:30" x14ac:dyDescent="0.2">
      <c r="X160" s="361">
        <f t="shared" ca="1" si="14"/>
        <v>30</v>
      </c>
      <c r="Y160" s="5">
        <f t="shared" ca="1" si="15"/>
        <v>1</v>
      </c>
      <c r="Z160" s="660">
        <f t="shared" ca="1" si="16"/>
        <v>0.37173643421781832</v>
      </c>
      <c r="AA160" s="240">
        <f t="shared" ca="1" si="17"/>
        <v>0.51987328178007741</v>
      </c>
      <c r="AB160" s="240">
        <f t="shared" ca="1" si="18"/>
        <v>0.37119999999999997</v>
      </c>
      <c r="AC160" s="240">
        <f t="shared" ca="1" si="19"/>
        <v>0.58396999999999999</v>
      </c>
      <c r="AD160" s="663">
        <f t="shared" ca="1" si="20"/>
        <v>0.46169492899947395</v>
      </c>
    </row>
    <row r="161" spans="24:30" x14ac:dyDescent="0.2">
      <c r="X161" s="361">
        <f t="shared" ca="1" si="14"/>
        <v>7</v>
      </c>
      <c r="Y161" s="5">
        <f t="shared" ca="1" si="15"/>
        <v>4.6592769999999994</v>
      </c>
      <c r="Z161" s="660">
        <f t="shared" ca="1" si="16"/>
        <v>0.85619679377947933</v>
      </c>
      <c r="AA161" s="240">
        <f t="shared" ca="1" si="17"/>
        <v>2.3477371233527737</v>
      </c>
      <c r="AB161" s="240">
        <f t="shared" ca="1" si="18"/>
        <v>0.9962045115999999</v>
      </c>
      <c r="AC161" s="240">
        <f t="shared" ca="1" si="19"/>
        <v>1.6054571745499999</v>
      </c>
      <c r="AD161" s="663">
        <f t="shared" ca="1" si="20"/>
        <v>1.4513989008205632</v>
      </c>
    </row>
    <row r="162" spans="24:30" x14ac:dyDescent="0.2">
      <c r="X162" s="361">
        <f t="shared" ca="1" si="14"/>
        <v>10</v>
      </c>
      <c r="Y162" s="5">
        <f t="shared" ca="1" si="15"/>
        <v>3.1827069999999997</v>
      </c>
      <c r="Z162" s="660">
        <f t="shared" ca="1" si="16"/>
        <v>0.61145556627399278</v>
      </c>
      <c r="AA162" s="240">
        <f t="shared" ca="1" si="17"/>
        <v>1.2777555957211661</v>
      </c>
      <c r="AB162" s="240">
        <f t="shared" ca="1" si="18"/>
        <v>0.74400635559999984</v>
      </c>
      <c r="AC162" s="240">
        <f t="shared" ca="1" si="19"/>
        <v>1.1932726590499998</v>
      </c>
      <c r="AD162" s="663">
        <f t="shared" ca="1" si="20"/>
        <v>0.95662254416128967</v>
      </c>
    </row>
    <row r="163" spans="24:30" x14ac:dyDescent="0.2">
      <c r="X163" s="361">
        <f t="shared" ca="1" si="14"/>
        <v>27</v>
      </c>
      <c r="Y163" s="5">
        <f t="shared" ca="1" si="15"/>
        <v>1</v>
      </c>
      <c r="Z163" s="660">
        <f t="shared" ca="1" si="16"/>
        <v>0.37173643421781832</v>
      </c>
      <c r="AA163" s="240">
        <f t="shared" ca="1" si="17"/>
        <v>0.51987328178007741</v>
      </c>
      <c r="AB163" s="240">
        <f t="shared" ca="1" si="18"/>
        <v>0.37119999999999997</v>
      </c>
      <c r="AC163" s="240">
        <f t="shared" ca="1" si="19"/>
        <v>0.58396999999999999</v>
      </c>
      <c r="AD163" s="663">
        <f t="shared" ca="1" si="20"/>
        <v>0.46169492899947395</v>
      </c>
    </row>
    <row r="164" spans="24:30" x14ac:dyDescent="0.2">
      <c r="X164" s="361">
        <f t="shared" ca="1" si="14"/>
        <v>10</v>
      </c>
      <c r="Y164" s="5">
        <f t="shared" ca="1" si="15"/>
        <v>3.1827069999999997</v>
      </c>
      <c r="Z164" s="660">
        <f t="shared" ca="1" si="16"/>
        <v>0.61145556627399278</v>
      </c>
      <c r="AA164" s="240">
        <f t="shared" ca="1" si="17"/>
        <v>1.2777555957211661</v>
      </c>
      <c r="AB164" s="240">
        <f t="shared" ca="1" si="18"/>
        <v>0.74400635559999984</v>
      </c>
      <c r="AC164" s="240">
        <f t="shared" ca="1" si="19"/>
        <v>1.1932726590499998</v>
      </c>
      <c r="AD164" s="663">
        <f t="shared" ca="1" si="20"/>
        <v>0.95662254416128967</v>
      </c>
    </row>
    <row r="165" spans="24:30" x14ac:dyDescent="0.2">
      <c r="X165" s="361">
        <f t="shared" ca="1" si="14"/>
        <v>23</v>
      </c>
      <c r="Y165" s="5">
        <f t="shared" ca="1" si="15"/>
        <v>1</v>
      </c>
      <c r="Z165" s="660">
        <f t="shared" ca="1" si="16"/>
        <v>0.37173643421781832</v>
      </c>
      <c r="AA165" s="240">
        <f t="shared" ca="1" si="17"/>
        <v>0.51987328178007741</v>
      </c>
      <c r="AB165" s="240">
        <f t="shared" ca="1" si="18"/>
        <v>0.37119999999999997</v>
      </c>
      <c r="AC165" s="240">
        <f t="shared" ca="1" si="19"/>
        <v>0.58396999999999999</v>
      </c>
      <c r="AD165" s="663">
        <f t="shared" ca="1" si="20"/>
        <v>0.46169492899947395</v>
      </c>
    </row>
    <row r="166" spans="24:30" x14ac:dyDescent="0.2">
      <c r="X166" s="361">
        <f t="shared" ca="1" si="14"/>
        <v>9</v>
      </c>
      <c r="Y166" s="5">
        <f t="shared" ca="1" si="15"/>
        <v>3.6748969999999996</v>
      </c>
      <c r="Z166" s="660">
        <f t="shared" ca="1" si="16"/>
        <v>0.68407092857537966</v>
      </c>
      <c r="AA166" s="240">
        <f t="shared" ca="1" si="17"/>
        <v>1.5650024320428637</v>
      </c>
      <c r="AB166" s="240">
        <f t="shared" ca="1" si="18"/>
        <v>0.82807240759999989</v>
      </c>
      <c r="AC166" s="240">
        <f t="shared" ca="1" si="19"/>
        <v>1.3306674975499999</v>
      </c>
      <c r="AD166" s="663">
        <f t="shared" ca="1" si="20"/>
        <v>1.101953316442061</v>
      </c>
    </row>
    <row r="167" spans="24:30" x14ac:dyDescent="0.2">
      <c r="X167" s="361">
        <f t="shared" ca="1" si="14"/>
        <v>19</v>
      </c>
      <c r="Y167" s="5">
        <f t="shared" ca="1" si="15"/>
        <v>1</v>
      </c>
      <c r="Z167" s="660">
        <f t="shared" ca="1" si="16"/>
        <v>0.37173643421781832</v>
      </c>
      <c r="AA167" s="240">
        <f t="shared" ca="1" si="17"/>
        <v>0.51987328178007741</v>
      </c>
      <c r="AB167" s="240">
        <f t="shared" ca="1" si="18"/>
        <v>0.37119999999999997</v>
      </c>
      <c r="AC167" s="240">
        <f t="shared" ca="1" si="19"/>
        <v>0.58396999999999999</v>
      </c>
      <c r="AD167" s="663">
        <f t="shared" ca="1" si="20"/>
        <v>0.46169492899947395</v>
      </c>
    </row>
    <row r="168" spans="24:30" x14ac:dyDescent="0.2">
      <c r="X168" s="361">
        <f t="shared" ca="1" si="14"/>
        <v>18</v>
      </c>
      <c r="Y168" s="5">
        <f t="shared" ca="1" si="15"/>
        <v>1</v>
      </c>
      <c r="Z168" s="660">
        <f t="shared" ca="1" si="16"/>
        <v>0.37173643421781832</v>
      </c>
      <c r="AA168" s="240">
        <f t="shared" ca="1" si="17"/>
        <v>0.51987328178007741</v>
      </c>
      <c r="AB168" s="240">
        <f t="shared" ca="1" si="18"/>
        <v>0.37119999999999997</v>
      </c>
      <c r="AC168" s="240">
        <f t="shared" ca="1" si="19"/>
        <v>0.58396999999999999</v>
      </c>
      <c r="AD168" s="663">
        <f t="shared" ca="1" si="20"/>
        <v>0.46169492899947395</v>
      </c>
    </row>
    <row r="169" spans="24:30" x14ac:dyDescent="0.2">
      <c r="X169" s="361">
        <f t="shared" ca="1" si="14"/>
        <v>9</v>
      </c>
      <c r="Y169" s="5">
        <f t="shared" ca="1" si="15"/>
        <v>3.6748969999999996</v>
      </c>
      <c r="Z169" s="660">
        <f t="shared" ca="1" si="16"/>
        <v>0.68407092857537966</v>
      </c>
      <c r="AA169" s="240">
        <f t="shared" ca="1" si="17"/>
        <v>1.5650024320428637</v>
      </c>
      <c r="AB169" s="240">
        <f t="shared" ca="1" si="18"/>
        <v>0.82807240759999989</v>
      </c>
      <c r="AC169" s="240">
        <f t="shared" ca="1" si="19"/>
        <v>1.3306674975499999</v>
      </c>
      <c r="AD169" s="663">
        <f t="shared" ca="1" si="20"/>
        <v>1.101953316442061</v>
      </c>
    </row>
    <row r="170" spans="24:30" x14ac:dyDescent="0.2">
      <c r="X170" s="361">
        <f t="shared" ca="1" si="14"/>
        <v>10</v>
      </c>
      <c r="Y170" s="5">
        <f t="shared" ca="1" si="15"/>
        <v>3.1827069999999997</v>
      </c>
      <c r="Z170" s="660">
        <f t="shared" ca="1" si="16"/>
        <v>0.61145556627399278</v>
      </c>
      <c r="AA170" s="240">
        <f t="shared" ca="1" si="17"/>
        <v>1.2777555957211661</v>
      </c>
      <c r="AB170" s="240">
        <f t="shared" ca="1" si="18"/>
        <v>0.74400635559999984</v>
      </c>
      <c r="AC170" s="240">
        <f t="shared" ca="1" si="19"/>
        <v>1.1932726590499998</v>
      </c>
      <c r="AD170" s="663">
        <f t="shared" ca="1" si="20"/>
        <v>0.95662254416128967</v>
      </c>
    </row>
    <row r="171" spans="24:30" x14ac:dyDescent="0.2">
      <c r="X171" s="361">
        <f t="shared" ca="1" si="14"/>
        <v>18</v>
      </c>
      <c r="Y171" s="5">
        <f t="shared" ca="1" si="15"/>
        <v>1</v>
      </c>
      <c r="Z171" s="660">
        <f t="shared" ca="1" si="16"/>
        <v>0.37173643421781832</v>
      </c>
      <c r="AA171" s="240">
        <f t="shared" ca="1" si="17"/>
        <v>0.51987328178007741</v>
      </c>
      <c r="AB171" s="240">
        <f t="shared" ca="1" si="18"/>
        <v>0.37119999999999997</v>
      </c>
      <c r="AC171" s="240">
        <f t="shared" ca="1" si="19"/>
        <v>0.58396999999999999</v>
      </c>
      <c r="AD171" s="663">
        <f t="shared" ca="1" si="20"/>
        <v>0.46169492899947395</v>
      </c>
    </row>
    <row r="172" spans="24:30" x14ac:dyDescent="0.2">
      <c r="X172" s="361">
        <f t="shared" ca="1" si="14"/>
        <v>19</v>
      </c>
      <c r="Y172" s="5">
        <f t="shared" ca="1" si="15"/>
        <v>1</v>
      </c>
      <c r="Z172" s="660">
        <f t="shared" ca="1" si="16"/>
        <v>0.37173643421781832</v>
      </c>
      <c r="AA172" s="240">
        <f t="shared" ca="1" si="17"/>
        <v>0.51987328178007741</v>
      </c>
      <c r="AB172" s="240">
        <f t="shared" ca="1" si="18"/>
        <v>0.37119999999999997</v>
      </c>
      <c r="AC172" s="240">
        <f t="shared" ca="1" si="19"/>
        <v>0.58396999999999999</v>
      </c>
      <c r="AD172" s="663">
        <f t="shared" ca="1" si="20"/>
        <v>0.46169492899947395</v>
      </c>
    </row>
    <row r="173" spans="24:30" x14ac:dyDescent="0.2">
      <c r="X173" s="361">
        <f t="shared" ca="1" si="14"/>
        <v>12</v>
      </c>
      <c r="Y173" s="5">
        <f t="shared" ca="1" si="15"/>
        <v>2.198326999999999</v>
      </c>
      <c r="Z173" s="660">
        <f t="shared" ca="1" si="16"/>
        <v>0.48853135172025192</v>
      </c>
      <c r="AA173" s="240">
        <f t="shared" ca="1" si="17"/>
        <v>0.85175235121906223</v>
      </c>
      <c r="AB173" s="240">
        <f t="shared" ca="1" si="18"/>
        <v>0.57587425159999983</v>
      </c>
      <c r="AC173" s="240">
        <f t="shared" ca="1" si="19"/>
        <v>0.91848298204999967</v>
      </c>
      <c r="AD173" s="663">
        <f t="shared" ca="1" si="20"/>
        <v>0.70866023414732837</v>
      </c>
    </row>
    <row r="174" spans="24:30" x14ac:dyDescent="0.2">
      <c r="X174" s="361">
        <f t="shared" ca="1" si="14"/>
        <v>15</v>
      </c>
      <c r="Y174" s="5">
        <f t="shared" ca="1" si="15"/>
        <v>1</v>
      </c>
      <c r="Z174" s="660">
        <f t="shared" ca="1" si="16"/>
        <v>0.37173643421781832</v>
      </c>
      <c r="AA174" s="240">
        <f t="shared" ca="1" si="17"/>
        <v>0.51987328178007741</v>
      </c>
      <c r="AB174" s="240">
        <f t="shared" ca="1" si="18"/>
        <v>0.37119999999999997</v>
      </c>
      <c r="AC174" s="240">
        <f t="shared" ca="1" si="19"/>
        <v>0.58396999999999999</v>
      </c>
      <c r="AD174" s="663">
        <f t="shared" ca="1" si="20"/>
        <v>0.46169492899947395</v>
      </c>
    </row>
    <row r="175" spans="24:30" x14ac:dyDescent="0.2">
      <c r="X175" s="361">
        <f t="shared" ca="1" si="14"/>
        <v>20</v>
      </c>
      <c r="Y175" s="5">
        <f t="shared" ca="1" si="15"/>
        <v>1</v>
      </c>
      <c r="Z175" s="660">
        <f t="shared" ca="1" si="16"/>
        <v>0.37173643421781832</v>
      </c>
      <c r="AA175" s="240">
        <f t="shared" ca="1" si="17"/>
        <v>0.51987328178007741</v>
      </c>
      <c r="AB175" s="240">
        <f t="shared" ca="1" si="18"/>
        <v>0.37119999999999997</v>
      </c>
      <c r="AC175" s="240">
        <f t="shared" ca="1" si="19"/>
        <v>0.58396999999999999</v>
      </c>
      <c r="AD175" s="663">
        <f t="shared" ca="1" si="20"/>
        <v>0.46169492899947395</v>
      </c>
    </row>
    <row r="176" spans="24:30" x14ac:dyDescent="0.2">
      <c r="X176" s="361">
        <f t="shared" ca="1" si="14"/>
        <v>29</v>
      </c>
      <c r="Y176" s="5">
        <f t="shared" ca="1" si="15"/>
        <v>1</v>
      </c>
      <c r="Z176" s="660">
        <f t="shared" ca="1" si="16"/>
        <v>0.37173643421781832</v>
      </c>
      <c r="AA176" s="240">
        <f t="shared" ca="1" si="17"/>
        <v>0.51987328178007741</v>
      </c>
      <c r="AB176" s="240">
        <f t="shared" ca="1" si="18"/>
        <v>0.37119999999999997</v>
      </c>
      <c r="AC176" s="240">
        <f t="shared" ca="1" si="19"/>
        <v>0.58396999999999999</v>
      </c>
      <c r="AD176" s="663">
        <f t="shared" ca="1" si="20"/>
        <v>0.46169492899947395</v>
      </c>
    </row>
    <row r="177" spans="24:30" x14ac:dyDescent="0.2">
      <c r="X177" s="361">
        <f t="shared" ca="1" si="14"/>
        <v>27</v>
      </c>
      <c r="Y177" s="5">
        <f t="shared" ca="1" si="15"/>
        <v>1</v>
      </c>
      <c r="Z177" s="660">
        <f t="shared" ca="1" si="16"/>
        <v>0.37173643421781832</v>
      </c>
      <c r="AA177" s="240">
        <f t="shared" ca="1" si="17"/>
        <v>0.51987328178007741</v>
      </c>
      <c r="AB177" s="240">
        <f t="shared" ca="1" si="18"/>
        <v>0.37119999999999997</v>
      </c>
      <c r="AC177" s="240">
        <f t="shared" ca="1" si="19"/>
        <v>0.58396999999999999</v>
      </c>
      <c r="AD177" s="663">
        <f t="shared" ca="1" si="20"/>
        <v>0.46169492899947395</v>
      </c>
    </row>
    <row r="178" spans="24:30" x14ac:dyDescent="0.2">
      <c r="X178" s="361">
        <f t="shared" ca="1" si="14"/>
        <v>9</v>
      </c>
      <c r="Y178" s="5">
        <f t="shared" ca="1" si="15"/>
        <v>3.6748969999999996</v>
      </c>
      <c r="Z178" s="660">
        <f t="shared" ca="1" si="16"/>
        <v>0.68407092857537966</v>
      </c>
      <c r="AA178" s="240">
        <f t="shared" ca="1" si="17"/>
        <v>1.5650024320428637</v>
      </c>
      <c r="AB178" s="240">
        <f t="shared" ca="1" si="18"/>
        <v>0.82807240759999989</v>
      </c>
      <c r="AC178" s="240">
        <f t="shared" ca="1" si="19"/>
        <v>1.3306674975499999</v>
      </c>
      <c r="AD178" s="663">
        <f t="shared" ca="1" si="20"/>
        <v>1.101953316442061</v>
      </c>
    </row>
    <row r="179" spans="24:30" x14ac:dyDescent="0.2">
      <c r="X179" s="361">
        <f t="shared" ca="1" si="14"/>
        <v>29</v>
      </c>
      <c r="Y179" s="5">
        <f t="shared" ca="1" si="15"/>
        <v>1</v>
      </c>
      <c r="Z179" s="660">
        <f t="shared" ca="1" si="16"/>
        <v>0.37173643421781832</v>
      </c>
      <c r="AA179" s="240">
        <f t="shared" ca="1" si="17"/>
        <v>0.51987328178007741</v>
      </c>
      <c r="AB179" s="240">
        <f t="shared" ca="1" si="18"/>
        <v>0.37119999999999997</v>
      </c>
      <c r="AC179" s="240">
        <f t="shared" ca="1" si="19"/>
        <v>0.58396999999999999</v>
      </c>
      <c r="AD179" s="663">
        <f t="shared" ca="1" si="20"/>
        <v>0.46169492899947395</v>
      </c>
    </row>
    <row r="180" spans="24:30" x14ac:dyDescent="0.2">
      <c r="X180" s="361">
        <f t="shared" ca="1" si="14"/>
        <v>24</v>
      </c>
      <c r="Y180" s="5">
        <f t="shared" ca="1" si="15"/>
        <v>1</v>
      </c>
      <c r="Z180" s="660">
        <f t="shared" ca="1" si="16"/>
        <v>0.37173643421781832</v>
      </c>
      <c r="AA180" s="240">
        <f t="shared" ca="1" si="17"/>
        <v>0.51987328178007741</v>
      </c>
      <c r="AB180" s="240">
        <f t="shared" ca="1" si="18"/>
        <v>0.37119999999999997</v>
      </c>
      <c r="AC180" s="240">
        <f t="shared" ca="1" si="19"/>
        <v>0.58396999999999999</v>
      </c>
      <c r="AD180" s="663">
        <f t="shared" ca="1" si="20"/>
        <v>0.46169492899947395</v>
      </c>
    </row>
    <row r="181" spans="24:30" x14ac:dyDescent="0.2">
      <c r="X181" s="361">
        <f t="shared" ca="1" si="14"/>
        <v>27</v>
      </c>
      <c r="Y181" s="5">
        <f t="shared" ca="1" si="15"/>
        <v>1</v>
      </c>
      <c r="Z181" s="660">
        <f t="shared" ca="1" si="16"/>
        <v>0.37173643421781832</v>
      </c>
      <c r="AA181" s="240">
        <f t="shared" ca="1" si="17"/>
        <v>0.51987328178007741</v>
      </c>
      <c r="AB181" s="240">
        <f t="shared" ca="1" si="18"/>
        <v>0.37119999999999997</v>
      </c>
      <c r="AC181" s="240">
        <f t="shared" ca="1" si="19"/>
        <v>0.58396999999999999</v>
      </c>
      <c r="AD181" s="663">
        <f t="shared" ca="1" si="20"/>
        <v>0.46169492899947395</v>
      </c>
    </row>
    <row r="182" spans="24:30" x14ac:dyDescent="0.2">
      <c r="X182" s="361">
        <f t="shared" ca="1" si="14"/>
        <v>13</v>
      </c>
      <c r="Y182" s="5">
        <f t="shared" ca="1" si="15"/>
        <v>1.7061369999999991</v>
      </c>
      <c r="Z182" s="660">
        <f t="shared" ca="1" si="16"/>
        <v>0.43667286801793892</v>
      </c>
      <c r="AA182" s="240">
        <f t="shared" ca="1" si="17"/>
        <v>0.69541830137488747</v>
      </c>
      <c r="AB182" s="240">
        <f t="shared" ca="1" si="18"/>
        <v>0.49180819959999977</v>
      </c>
      <c r="AC182" s="240">
        <f t="shared" ca="1" si="19"/>
        <v>0.78108814354999967</v>
      </c>
      <c r="AD182" s="663">
        <f t="shared" ca="1" si="20"/>
        <v>0.60124687813570654</v>
      </c>
    </row>
    <row r="183" spans="24:30" x14ac:dyDescent="0.2">
      <c r="X183" s="361">
        <f t="shared" ca="1" si="14"/>
        <v>17</v>
      </c>
      <c r="Y183" s="5">
        <f t="shared" ca="1" si="15"/>
        <v>1</v>
      </c>
      <c r="Z183" s="660">
        <f t="shared" ca="1" si="16"/>
        <v>0.37173643421781832</v>
      </c>
      <c r="AA183" s="240">
        <f t="shared" ca="1" si="17"/>
        <v>0.51987328178007741</v>
      </c>
      <c r="AB183" s="240">
        <f t="shared" ca="1" si="18"/>
        <v>0.37119999999999997</v>
      </c>
      <c r="AC183" s="240">
        <f t="shared" ca="1" si="19"/>
        <v>0.58396999999999999</v>
      </c>
      <c r="AD183" s="663">
        <f t="shared" ca="1" si="20"/>
        <v>0.46169492899947395</v>
      </c>
    </row>
    <row r="184" spans="24:30" x14ac:dyDescent="0.2">
      <c r="X184" s="361">
        <f t="shared" ref="X184:X214" ca="1" si="21">RANDBETWEEN(7,30)</f>
        <v>24</v>
      </c>
      <c r="Y184" s="5">
        <f t="shared" ref="Y184:Y214" ca="1" si="22">MAX(1,8.104607-0.49219*(X184))</f>
        <v>1</v>
      </c>
      <c r="Z184" s="660">
        <f t="shared" ref="Z184:Z214" ca="1" si="23">EXP(3.6021+0.228*Y184-0.2145)/100</f>
        <v>0.37173643421781832</v>
      </c>
      <c r="AA184" s="240">
        <f t="shared" ref="AA184:AA214" ca="1" si="24">EXP(3.539+0.412*Y184)/100</f>
        <v>0.51987328178007741</v>
      </c>
      <c r="AB184" s="240">
        <f t="shared" ref="AB184:AB214" ca="1" si="25">(20.04+17.08*Y184)/100</f>
        <v>0.37119999999999997</v>
      </c>
      <c r="AC184" s="240">
        <f t="shared" ref="AC184:AC214" ca="1" si="26">(30.482+27.915*Y184)/100</f>
        <v>0.58396999999999999</v>
      </c>
      <c r="AD184" s="663">
        <f t="shared" ref="AD184:AD214" ca="1" si="27">AVERAGE(Z184:AC184)</f>
        <v>0.46169492899947395</v>
      </c>
    </row>
    <row r="185" spans="24:30" x14ac:dyDescent="0.2">
      <c r="X185" s="361">
        <f t="shared" ca="1" si="21"/>
        <v>26</v>
      </c>
      <c r="Y185" s="5">
        <f t="shared" ca="1" si="22"/>
        <v>1</v>
      </c>
      <c r="Z185" s="660">
        <f t="shared" ca="1" si="23"/>
        <v>0.37173643421781832</v>
      </c>
      <c r="AA185" s="240">
        <f t="shared" ca="1" si="24"/>
        <v>0.51987328178007741</v>
      </c>
      <c r="AB185" s="240">
        <f t="shared" ca="1" si="25"/>
        <v>0.37119999999999997</v>
      </c>
      <c r="AC185" s="240">
        <f t="shared" ca="1" si="26"/>
        <v>0.58396999999999999</v>
      </c>
      <c r="AD185" s="663">
        <f t="shared" ca="1" si="27"/>
        <v>0.46169492899947395</v>
      </c>
    </row>
    <row r="186" spans="24:30" x14ac:dyDescent="0.2">
      <c r="X186" s="361">
        <f t="shared" ca="1" si="21"/>
        <v>20</v>
      </c>
      <c r="Y186" s="5">
        <f t="shared" ca="1" si="22"/>
        <v>1</v>
      </c>
      <c r="Z186" s="660">
        <f t="shared" ca="1" si="23"/>
        <v>0.37173643421781832</v>
      </c>
      <c r="AA186" s="240">
        <f t="shared" ca="1" si="24"/>
        <v>0.51987328178007741</v>
      </c>
      <c r="AB186" s="240">
        <f t="shared" ca="1" si="25"/>
        <v>0.37119999999999997</v>
      </c>
      <c r="AC186" s="240">
        <f t="shared" ca="1" si="26"/>
        <v>0.58396999999999999</v>
      </c>
      <c r="AD186" s="663">
        <f t="shared" ca="1" si="27"/>
        <v>0.46169492899947395</v>
      </c>
    </row>
    <row r="187" spans="24:30" x14ac:dyDescent="0.2">
      <c r="X187" s="361">
        <f t="shared" ca="1" si="21"/>
        <v>10</v>
      </c>
      <c r="Y187" s="5">
        <f t="shared" ca="1" si="22"/>
        <v>3.1827069999999997</v>
      </c>
      <c r="Z187" s="660">
        <f t="shared" ca="1" si="23"/>
        <v>0.61145556627399278</v>
      </c>
      <c r="AA187" s="240">
        <f t="shared" ca="1" si="24"/>
        <v>1.2777555957211661</v>
      </c>
      <c r="AB187" s="240">
        <f t="shared" ca="1" si="25"/>
        <v>0.74400635559999984</v>
      </c>
      <c r="AC187" s="240">
        <f t="shared" ca="1" si="26"/>
        <v>1.1932726590499998</v>
      </c>
      <c r="AD187" s="663">
        <f t="shared" ca="1" si="27"/>
        <v>0.95662254416128967</v>
      </c>
    </row>
    <row r="188" spans="24:30" x14ac:dyDescent="0.2">
      <c r="X188" s="361">
        <f t="shared" ca="1" si="21"/>
        <v>14</v>
      </c>
      <c r="Y188" s="5">
        <f t="shared" ca="1" si="22"/>
        <v>1.2139469999999992</v>
      </c>
      <c r="Z188" s="660">
        <f t="shared" ca="1" si="23"/>
        <v>0.39031925585034588</v>
      </c>
      <c r="AA188" s="240">
        <f t="shared" ca="1" si="24"/>
        <v>0.56777843136561523</v>
      </c>
      <c r="AB188" s="240">
        <f t="shared" ca="1" si="25"/>
        <v>0.40774214759999983</v>
      </c>
      <c r="AC188" s="240">
        <f t="shared" ca="1" si="26"/>
        <v>0.64369330504999978</v>
      </c>
      <c r="AD188" s="663">
        <f t="shared" ca="1" si="27"/>
        <v>0.50238328496649021</v>
      </c>
    </row>
    <row r="189" spans="24:30" x14ac:dyDescent="0.2">
      <c r="X189" s="361">
        <f t="shared" ca="1" si="21"/>
        <v>10</v>
      </c>
      <c r="Y189" s="5">
        <f t="shared" ca="1" si="22"/>
        <v>3.1827069999999997</v>
      </c>
      <c r="Z189" s="660">
        <f t="shared" ca="1" si="23"/>
        <v>0.61145556627399278</v>
      </c>
      <c r="AA189" s="240">
        <f t="shared" ca="1" si="24"/>
        <v>1.2777555957211661</v>
      </c>
      <c r="AB189" s="240">
        <f t="shared" ca="1" si="25"/>
        <v>0.74400635559999984</v>
      </c>
      <c r="AC189" s="240">
        <f t="shared" ca="1" si="26"/>
        <v>1.1932726590499998</v>
      </c>
      <c r="AD189" s="663">
        <f t="shared" ca="1" si="27"/>
        <v>0.95662254416128967</v>
      </c>
    </row>
    <row r="190" spans="24:30" x14ac:dyDescent="0.2">
      <c r="X190" s="361">
        <f t="shared" ca="1" si="21"/>
        <v>9</v>
      </c>
      <c r="Y190" s="5">
        <f t="shared" ca="1" si="22"/>
        <v>3.6748969999999996</v>
      </c>
      <c r="Z190" s="660">
        <f t="shared" ca="1" si="23"/>
        <v>0.68407092857537966</v>
      </c>
      <c r="AA190" s="240">
        <f t="shared" ca="1" si="24"/>
        <v>1.5650024320428637</v>
      </c>
      <c r="AB190" s="240">
        <f t="shared" ca="1" si="25"/>
        <v>0.82807240759999989</v>
      </c>
      <c r="AC190" s="240">
        <f t="shared" ca="1" si="26"/>
        <v>1.3306674975499999</v>
      </c>
      <c r="AD190" s="663">
        <f t="shared" ca="1" si="27"/>
        <v>1.101953316442061</v>
      </c>
    </row>
    <row r="191" spans="24:30" x14ac:dyDescent="0.2">
      <c r="X191" s="361">
        <f t="shared" ca="1" si="21"/>
        <v>26</v>
      </c>
      <c r="Y191" s="5">
        <f t="shared" ca="1" si="22"/>
        <v>1</v>
      </c>
      <c r="Z191" s="660">
        <f t="shared" ca="1" si="23"/>
        <v>0.37173643421781832</v>
      </c>
      <c r="AA191" s="240">
        <f t="shared" ca="1" si="24"/>
        <v>0.51987328178007741</v>
      </c>
      <c r="AB191" s="240">
        <f t="shared" ca="1" si="25"/>
        <v>0.37119999999999997</v>
      </c>
      <c r="AC191" s="240">
        <f t="shared" ca="1" si="26"/>
        <v>0.58396999999999999</v>
      </c>
      <c r="AD191" s="663">
        <f t="shared" ca="1" si="27"/>
        <v>0.46169492899947395</v>
      </c>
    </row>
    <row r="192" spans="24:30" x14ac:dyDescent="0.2">
      <c r="X192" s="361">
        <f t="shared" ca="1" si="21"/>
        <v>15</v>
      </c>
      <c r="Y192" s="5">
        <f t="shared" ca="1" si="22"/>
        <v>1</v>
      </c>
      <c r="Z192" s="660">
        <f t="shared" ca="1" si="23"/>
        <v>0.37173643421781832</v>
      </c>
      <c r="AA192" s="240">
        <f t="shared" ca="1" si="24"/>
        <v>0.51987328178007741</v>
      </c>
      <c r="AB192" s="240">
        <f t="shared" ca="1" si="25"/>
        <v>0.37119999999999997</v>
      </c>
      <c r="AC192" s="240">
        <f t="shared" ca="1" si="26"/>
        <v>0.58396999999999999</v>
      </c>
      <c r="AD192" s="663">
        <f t="shared" ca="1" si="27"/>
        <v>0.46169492899947395</v>
      </c>
    </row>
    <row r="193" spans="24:30" x14ac:dyDescent="0.2">
      <c r="X193" s="361">
        <f t="shared" ca="1" si="21"/>
        <v>7</v>
      </c>
      <c r="Y193" s="5">
        <f t="shared" ca="1" si="22"/>
        <v>4.6592769999999994</v>
      </c>
      <c r="Z193" s="660">
        <f t="shared" ca="1" si="23"/>
        <v>0.85619679377947933</v>
      </c>
      <c r="AA193" s="240">
        <f t="shared" ca="1" si="24"/>
        <v>2.3477371233527737</v>
      </c>
      <c r="AB193" s="240">
        <f t="shared" ca="1" si="25"/>
        <v>0.9962045115999999</v>
      </c>
      <c r="AC193" s="240">
        <f t="shared" ca="1" si="26"/>
        <v>1.6054571745499999</v>
      </c>
      <c r="AD193" s="663">
        <f t="shared" ca="1" si="27"/>
        <v>1.4513989008205632</v>
      </c>
    </row>
    <row r="194" spans="24:30" x14ac:dyDescent="0.2">
      <c r="X194" s="361">
        <f t="shared" ca="1" si="21"/>
        <v>12</v>
      </c>
      <c r="Y194" s="5">
        <f t="shared" ca="1" si="22"/>
        <v>2.198326999999999</v>
      </c>
      <c r="Z194" s="660">
        <f t="shared" ca="1" si="23"/>
        <v>0.48853135172025192</v>
      </c>
      <c r="AA194" s="240">
        <f t="shared" ca="1" si="24"/>
        <v>0.85175235121906223</v>
      </c>
      <c r="AB194" s="240">
        <f t="shared" ca="1" si="25"/>
        <v>0.57587425159999983</v>
      </c>
      <c r="AC194" s="240">
        <f t="shared" ca="1" si="26"/>
        <v>0.91848298204999967</v>
      </c>
      <c r="AD194" s="663">
        <f t="shared" ca="1" si="27"/>
        <v>0.70866023414732837</v>
      </c>
    </row>
    <row r="195" spans="24:30" x14ac:dyDescent="0.2">
      <c r="X195" s="361">
        <f t="shared" ca="1" si="21"/>
        <v>20</v>
      </c>
      <c r="Y195" s="5">
        <f t="shared" ca="1" si="22"/>
        <v>1</v>
      </c>
      <c r="Z195" s="660">
        <f t="shared" ca="1" si="23"/>
        <v>0.37173643421781832</v>
      </c>
      <c r="AA195" s="240">
        <f t="shared" ca="1" si="24"/>
        <v>0.51987328178007741</v>
      </c>
      <c r="AB195" s="240">
        <f t="shared" ca="1" si="25"/>
        <v>0.37119999999999997</v>
      </c>
      <c r="AC195" s="240">
        <f t="shared" ca="1" si="26"/>
        <v>0.58396999999999999</v>
      </c>
      <c r="AD195" s="663">
        <f t="shared" ca="1" si="27"/>
        <v>0.46169492899947395</v>
      </c>
    </row>
    <row r="196" spans="24:30" x14ac:dyDescent="0.2">
      <c r="X196" s="361">
        <f t="shared" ca="1" si="21"/>
        <v>10</v>
      </c>
      <c r="Y196" s="5">
        <f t="shared" ca="1" si="22"/>
        <v>3.1827069999999997</v>
      </c>
      <c r="Z196" s="660">
        <f t="shared" ca="1" si="23"/>
        <v>0.61145556627399278</v>
      </c>
      <c r="AA196" s="240">
        <f t="shared" ca="1" si="24"/>
        <v>1.2777555957211661</v>
      </c>
      <c r="AB196" s="240">
        <f t="shared" ca="1" si="25"/>
        <v>0.74400635559999984</v>
      </c>
      <c r="AC196" s="240">
        <f t="shared" ca="1" si="26"/>
        <v>1.1932726590499998</v>
      </c>
      <c r="AD196" s="663">
        <f t="shared" ca="1" si="27"/>
        <v>0.95662254416128967</v>
      </c>
    </row>
    <row r="197" spans="24:30" x14ac:dyDescent="0.2">
      <c r="X197" s="361">
        <f t="shared" ca="1" si="21"/>
        <v>15</v>
      </c>
      <c r="Y197" s="5">
        <f t="shared" ca="1" si="22"/>
        <v>1</v>
      </c>
      <c r="Z197" s="660">
        <f t="shared" ca="1" si="23"/>
        <v>0.37173643421781832</v>
      </c>
      <c r="AA197" s="240">
        <f t="shared" ca="1" si="24"/>
        <v>0.51987328178007741</v>
      </c>
      <c r="AB197" s="240">
        <f t="shared" ca="1" si="25"/>
        <v>0.37119999999999997</v>
      </c>
      <c r="AC197" s="240">
        <f t="shared" ca="1" si="26"/>
        <v>0.58396999999999999</v>
      </c>
      <c r="AD197" s="663">
        <f t="shared" ca="1" si="27"/>
        <v>0.46169492899947395</v>
      </c>
    </row>
    <row r="198" spans="24:30" x14ac:dyDescent="0.2">
      <c r="X198" s="361">
        <f t="shared" ca="1" si="21"/>
        <v>14</v>
      </c>
      <c r="Y198" s="5">
        <f t="shared" ca="1" si="22"/>
        <v>1.2139469999999992</v>
      </c>
      <c r="Z198" s="660">
        <f t="shared" ca="1" si="23"/>
        <v>0.39031925585034588</v>
      </c>
      <c r="AA198" s="240">
        <f t="shared" ca="1" si="24"/>
        <v>0.56777843136561523</v>
      </c>
      <c r="AB198" s="240">
        <f t="shared" ca="1" si="25"/>
        <v>0.40774214759999983</v>
      </c>
      <c r="AC198" s="240">
        <f t="shared" ca="1" si="26"/>
        <v>0.64369330504999978</v>
      </c>
      <c r="AD198" s="663">
        <f t="shared" ca="1" si="27"/>
        <v>0.50238328496649021</v>
      </c>
    </row>
    <row r="199" spans="24:30" x14ac:dyDescent="0.2">
      <c r="X199" s="361">
        <f t="shared" ca="1" si="21"/>
        <v>13</v>
      </c>
      <c r="Y199" s="5">
        <f t="shared" ca="1" si="22"/>
        <v>1.7061369999999991</v>
      </c>
      <c r="Z199" s="660">
        <f t="shared" ca="1" si="23"/>
        <v>0.43667286801793892</v>
      </c>
      <c r="AA199" s="240">
        <f t="shared" ca="1" si="24"/>
        <v>0.69541830137488747</v>
      </c>
      <c r="AB199" s="240">
        <f t="shared" ca="1" si="25"/>
        <v>0.49180819959999977</v>
      </c>
      <c r="AC199" s="240">
        <f t="shared" ca="1" si="26"/>
        <v>0.78108814354999967</v>
      </c>
      <c r="AD199" s="663">
        <f t="shared" ca="1" si="27"/>
        <v>0.60124687813570654</v>
      </c>
    </row>
    <row r="200" spans="24:30" x14ac:dyDescent="0.2">
      <c r="X200" s="361">
        <f t="shared" ca="1" si="21"/>
        <v>18</v>
      </c>
      <c r="Y200" s="5">
        <f t="shared" ca="1" si="22"/>
        <v>1</v>
      </c>
      <c r="Z200" s="660">
        <f t="shared" ca="1" si="23"/>
        <v>0.37173643421781832</v>
      </c>
      <c r="AA200" s="240">
        <f t="shared" ca="1" si="24"/>
        <v>0.51987328178007741</v>
      </c>
      <c r="AB200" s="240">
        <f t="shared" ca="1" si="25"/>
        <v>0.37119999999999997</v>
      </c>
      <c r="AC200" s="240">
        <f t="shared" ca="1" si="26"/>
        <v>0.58396999999999999</v>
      </c>
      <c r="AD200" s="663">
        <f t="shared" ca="1" si="27"/>
        <v>0.46169492899947395</v>
      </c>
    </row>
    <row r="201" spans="24:30" x14ac:dyDescent="0.2">
      <c r="X201" s="361">
        <f t="shared" ca="1" si="21"/>
        <v>28</v>
      </c>
      <c r="Y201" s="5">
        <f t="shared" ca="1" si="22"/>
        <v>1</v>
      </c>
      <c r="Z201" s="660">
        <f t="shared" ca="1" si="23"/>
        <v>0.37173643421781832</v>
      </c>
      <c r="AA201" s="240">
        <f t="shared" ca="1" si="24"/>
        <v>0.51987328178007741</v>
      </c>
      <c r="AB201" s="240">
        <f t="shared" ca="1" si="25"/>
        <v>0.37119999999999997</v>
      </c>
      <c r="AC201" s="240">
        <f t="shared" ca="1" si="26"/>
        <v>0.58396999999999999</v>
      </c>
      <c r="AD201" s="663">
        <f t="shared" ca="1" si="27"/>
        <v>0.46169492899947395</v>
      </c>
    </row>
    <row r="202" spans="24:30" x14ac:dyDescent="0.2">
      <c r="X202" s="361">
        <f t="shared" ca="1" si="21"/>
        <v>15</v>
      </c>
      <c r="Y202" s="5">
        <f t="shared" ca="1" si="22"/>
        <v>1</v>
      </c>
      <c r="Z202" s="660">
        <f t="shared" ca="1" si="23"/>
        <v>0.37173643421781832</v>
      </c>
      <c r="AA202" s="240">
        <f t="shared" ca="1" si="24"/>
        <v>0.51987328178007741</v>
      </c>
      <c r="AB202" s="240">
        <f t="shared" ca="1" si="25"/>
        <v>0.37119999999999997</v>
      </c>
      <c r="AC202" s="240">
        <f t="shared" ca="1" si="26"/>
        <v>0.58396999999999999</v>
      </c>
      <c r="AD202" s="663">
        <f t="shared" ca="1" si="27"/>
        <v>0.46169492899947395</v>
      </c>
    </row>
    <row r="203" spans="24:30" x14ac:dyDescent="0.2">
      <c r="X203" s="361">
        <f t="shared" ca="1" si="21"/>
        <v>27</v>
      </c>
      <c r="Y203" s="5">
        <f t="shared" ca="1" si="22"/>
        <v>1</v>
      </c>
      <c r="Z203" s="660">
        <f t="shared" ca="1" si="23"/>
        <v>0.37173643421781832</v>
      </c>
      <c r="AA203" s="240">
        <f t="shared" ca="1" si="24"/>
        <v>0.51987328178007741</v>
      </c>
      <c r="AB203" s="240">
        <f t="shared" ca="1" si="25"/>
        <v>0.37119999999999997</v>
      </c>
      <c r="AC203" s="240">
        <f t="shared" ca="1" si="26"/>
        <v>0.58396999999999999</v>
      </c>
      <c r="AD203" s="663">
        <f t="shared" ca="1" si="27"/>
        <v>0.46169492899947395</v>
      </c>
    </row>
    <row r="204" spans="24:30" x14ac:dyDescent="0.2">
      <c r="X204" s="361">
        <f t="shared" ca="1" si="21"/>
        <v>8</v>
      </c>
      <c r="Y204" s="5">
        <f t="shared" ca="1" si="22"/>
        <v>4.1670869999999995</v>
      </c>
      <c r="Z204" s="660">
        <f t="shared" ca="1" si="23"/>
        <v>0.76530996058067291</v>
      </c>
      <c r="AA204" s="240">
        <f t="shared" ca="1" si="24"/>
        <v>1.9168240158774117</v>
      </c>
      <c r="AB204" s="240">
        <f t="shared" ca="1" si="25"/>
        <v>0.91213845959999984</v>
      </c>
      <c r="AC204" s="240">
        <f t="shared" ca="1" si="26"/>
        <v>1.4680623360499998</v>
      </c>
      <c r="AD204" s="663">
        <f t="shared" ca="1" si="27"/>
        <v>1.265583693027021</v>
      </c>
    </row>
    <row r="205" spans="24:30" x14ac:dyDescent="0.2">
      <c r="X205" s="361">
        <f t="shared" ca="1" si="21"/>
        <v>29</v>
      </c>
      <c r="Y205" s="5">
        <f t="shared" ca="1" si="22"/>
        <v>1</v>
      </c>
      <c r="Z205" s="660">
        <f t="shared" ca="1" si="23"/>
        <v>0.37173643421781832</v>
      </c>
      <c r="AA205" s="240">
        <f t="shared" ca="1" si="24"/>
        <v>0.51987328178007741</v>
      </c>
      <c r="AB205" s="240">
        <f t="shared" ca="1" si="25"/>
        <v>0.37119999999999997</v>
      </c>
      <c r="AC205" s="240">
        <f t="shared" ca="1" si="26"/>
        <v>0.58396999999999999</v>
      </c>
      <c r="AD205" s="663">
        <f t="shared" ca="1" si="27"/>
        <v>0.46169492899947395</v>
      </c>
    </row>
    <row r="206" spans="24:30" x14ac:dyDescent="0.2">
      <c r="X206" s="361">
        <f t="shared" ca="1" si="21"/>
        <v>20</v>
      </c>
      <c r="Y206" s="5">
        <f t="shared" ca="1" si="22"/>
        <v>1</v>
      </c>
      <c r="Z206" s="660">
        <f t="shared" ca="1" si="23"/>
        <v>0.37173643421781832</v>
      </c>
      <c r="AA206" s="240">
        <f t="shared" ca="1" si="24"/>
        <v>0.51987328178007741</v>
      </c>
      <c r="AB206" s="240">
        <f t="shared" ca="1" si="25"/>
        <v>0.37119999999999997</v>
      </c>
      <c r="AC206" s="240">
        <f t="shared" ca="1" si="26"/>
        <v>0.58396999999999999</v>
      </c>
      <c r="AD206" s="663">
        <f t="shared" ca="1" si="27"/>
        <v>0.46169492899947395</v>
      </c>
    </row>
    <row r="207" spans="24:30" x14ac:dyDescent="0.2">
      <c r="X207" s="361">
        <f t="shared" ca="1" si="21"/>
        <v>23</v>
      </c>
      <c r="Y207" s="5">
        <f t="shared" ca="1" si="22"/>
        <v>1</v>
      </c>
      <c r="Z207" s="660">
        <f t="shared" ca="1" si="23"/>
        <v>0.37173643421781832</v>
      </c>
      <c r="AA207" s="240">
        <f t="shared" ca="1" si="24"/>
        <v>0.51987328178007741</v>
      </c>
      <c r="AB207" s="240">
        <f t="shared" ca="1" si="25"/>
        <v>0.37119999999999997</v>
      </c>
      <c r="AC207" s="240">
        <f t="shared" ca="1" si="26"/>
        <v>0.58396999999999999</v>
      </c>
      <c r="AD207" s="663">
        <f t="shared" ca="1" si="27"/>
        <v>0.46169492899947395</v>
      </c>
    </row>
    <row r="208" spans="24:30" x14ac:dyDescent="0.2">
      <c r="X208" s="361">
        <f t="shared" ca="1" si="21"/>
        <v>14</v>
      </c>
      <c r="Y208" s="5">
        <f t="shared" ca="1" si="22"/>
        <v>1.2139469999999992</v>
      </c>
      <c r="Z208" s="660">
        <f t="shared" ca="1" si="23"/>
        <v>0.39031925585034588</v>
      </c>
      <c r="AA208" s="240">
        <f t="shared" ca="1" si="24"/>
        <v>0.56777843136561523</v>
      </c>
      <c r="AB208" s="240">
        <f t="shared" ca="1" si="25"/>
        <v>0.40774214759999983</v>
      </c>
      <c r="AC208" s="240">
        <f t="shared" ca="1" si="26"/>
        <v>0.64369330504999978</v>
      </c>
      <c r="AD208" s="663">
        <f t="shared" ca="1" si="27"/>
        <v>0.50238328496649021</v>
      </c>
    </row>
    <row r="209" spans="24:30" x14ac:dyDescent="0.2">
      <c r="X209" s="361">
        <f t="shared" ca="1" si="21"/>
        <v>15</v>
      </c>
      <c r="Y209" s="5">
        <f t="shared" ca="1" si="22"/>
        <v>1</v>
      </c>
      <c r="Z209" s="660">
        <f t="shared" ca="1" si="23"/>
        <v>0.37173643421781832</v>
      </c>
      <c r="AA209" s="240">
        <f t="shared" ca="1" si="24"/>
        <v>0.51987328178007741</v>
      </c>
      <c r="AB209" s="240">
        <f t="shared" ca="1" si="25"/>
        <v>0.37119999999999997</v>
      </c>
      <c r="AC209" s="240">
        <f t="shared" ca="1" si="26"/>
        <v>0.58396999999999999</v>
      </c>
      <c r="AD209" s="663">
        <f t="shared" ca="1" si="27"/>
        <v>0.46169492899947395</v>
      </c>
    </row>
    <row r="210" spans="24:30" x14ac:dyDescent="0.2">
      <c r="X210" s="361">
        <f t="shared" ca="1" si="21"/>
        <v>18</v>
      </c>
      <c r="Y210" s="5">
        <f t="shared" ca="1" si="22"/>
        <v>1</v>
      </c>
      <c r="Z210" s="660">
        <f t="shared" ca="1" si="23"/>
        <v>0.37173643421781832</v>
      </c>
      <c r="AA210" s="240">
        <f t="shared" ca="1" si="24"/>
        <v>0.51987328178007741</v>
      </c>
      <c r="AB210" s="240">
        <f t="shared" ca="1" si="25"/>
        <v>0.37119999999999997</v>
      </c>
      <c r="AC210" s="240">
        <f t="shared" ca="1" si="26"/>
        <v>0.58396999999999999</v>
      </c>
      <c r="AD210" s="663">
        <f t="shared" ca="1" si="27"/>
        <v>0.46169492899947395</v>
      </c>
    </row>
    <row r="211" spans="24:30" x14ac:dyDescent="0.2">
      <c r="X211" s="361">
        <f t="shared" ca="1" si="21"/>
        <v>16</v>
      </c>
      <c r="Y211" s="5">
        <f t="shared" ca="1" si="22"/>
        <v>1</v>
      </c>
      <c r="Z211" s="660">
        <f t="shared" ca="1" si="23"/>
        <v>0.37173643421781832</v>
      </c>
      <c r="AA211" s="240">
        <f t="shared" ca="1" si="24"/>
        <v>0.51987328178007741</v>
      </c>
      <c r="AB211" s="240">
        <f t="shared" ca="1" si="25"/>
        <v>0.37119999999999997</v>
      </c>
      <c r="AC211" s="240">
        <f t="shared" ca="1" si="26"/>
        <v>0.58396999999999999</v>
      </c>
      <c r="AD211" s="663">
        <f t="shared" ca="1" si="27"/>
        <v>0.46169492899947395</v>
      </c>
    </row>
    <row r="212" spans="24:30" x14ac:dyDescent="0.2">
      <c r="X212" s="361">
        <f t="shared" ca="1" si="21"/>
        <v>23</v>
      </c>
      <c r="Y212" s="5">
        <f t="shared" ca="1" si="22"/>
        <v>1</v>
      </c>
      <c r="Z212" s="660">
        <f t="shared" ca="1" si="23"/>
        <v>0.37173643421781832</v>
      </c>
      <c r="AA212" s="240">
        <f t="shared" ca="1" si="24"/>
        <v>0.51987328178007741</v>
      </c>
      <c r="AB212" s="240">
        <f t="shared" ca="1" si="25"/>
        <v>0.37119999999999997</v>
      </c>
      <c r="AC212" s="240">
        <f t="shared" ca="1" si="26"/>
        <v>0.58396999999999999</v>
      </c>
      <c r="AD212" s="663">
        <f t="shared" ca="1" si="27"/>
        <v>0.46169492899947395</v>
      </c>
    </row>
    <row r="213" spans="24:30" x14ac:dyDescent="0.2">
      <c r="X213" s="361">
        <f t="shared" ca="1" si="21"/>
        <v>16</v>
      </c>
      <c r="Y213" s="5">
        <f t="shared" ca="1" si="22"/>
        <v>1</v>
      </c>
      <c r="Z213" s="660">
        <f t="shared" ca="1" si="23"/>
        <v>0.37173643421781832</v>
      </c>
      <c r="AA213" s="240">
        <f t="shared" ca="1" si="24"/>
        <v>0.51987328178007741</v>
      </c>
      <c r="AB213" s="240">
        <f t="shared" ca="1" si="25"/>
        <v>0.37119999999999997</v>
      </c>
      <c r="AC213" s="240">
        <f t="shared" ca="1" si="26"/>
        <v>0.58396999999999999</v>
      </c>
      <c r="AD213" s="663">
        <f t="shared" ca="1" si="27"/>
        <v>0.46169492899947395</v>
      </c>
    </row>
    <row r="214" spans="24:30" x14ac:dyDescent="0.2">
      <c r="X214" s="500">
        <f t="shared" ca="1" si="21"/>
        <v>23</v>
      </c>
      <c r="Y214" s="487">
        <f t="shared" ca="1" si="22"/>
        <v>1</v>
      </c>
      <c r="Z214" s="661">
        <f t="shared" ca="1" si="23"/>
        <v>0.37173643421781832</v>
      </c>
      <c r="AA214" s="662">
        <f t="shared" ca="1" si="24"/>
        <v>0.51987328178007741</v>
      </c>
      <c r="AB214" s="662">
        <f t="shared" ca="1" si="25"/>
        <v>0.37119999999999997</v>
      </c>
      <c r="AC214" s="662">
        <f t="shared" ca="1" si="26"/>
        <v>0.58396999999999999</v>
      </c>
      <c r="AD214" s="664">
        <f t="shared" ca="1" si="27"/>
        <v>0.46169492899947395</v>
      </c>
    </row>
  </sheetData>
  <mergeCells count="32">
    <mergeCell ref="AS3:AU3"/>
    <mergeCell ref="AP3:AQ3"/>
    <mergeCell ref="I3:L9"/>
    <mergeCell ref="B3:F3"/>
    <mergeCell ref="B5:B6"/>
    <mergeCell ref="C5:E5"/>
    <mergeCell ref="C4:E4"/>
    <mergeCell ref="C6:E6"/>
    <mergeCell ref="C14:E14"/>
    <mergeCell ref="B7:B9"/>
    <mergeCell ref="B14:B15"/>
    <mergeCell ref="C15:E15"/>
    <mergeCell ref="C12:E12"/>
    <mergeCell ref="C13:E13"/>
    <mergeCell ref="C7:E7"/>
    <mergeCell ref="C8:E8"/>
    <mergeCell ref="C9:E9"/>
    <mergeCell ref="B11:F11"/>
    <mergeCell ref="B29:G29"/>
    <mergeCell ref="I29:L29"/>
    <mergeCell ref="I17:L17"/>
    <mergeCell ref="B17:G17"/>
    <mergeCell ref="B18:G18"/>
    <mergeCell ref="I18:L18"/>
    <mergeCell ref="I22:L22"/>
    <mergeCell ref="B22:G22"/>
    <mergeCell ref="R11:T11"/>
    <mergeCell ref="R12:T12"/>
    <mergeCell ref="Z13:AC13"/>
    <mergeCell ref="X12:Y12"/>
    <mergeCell ref="Z12:AD12"/>
    <mergeCell ref="X11:AD11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526CA-EACA-4CD2-A066-3A4DC487772B}">
  <sheetPr>
    <tabColor rgb="FFFFFF00"/>
  </sheetPr>
  <dimension ref="A2:W30"/>
  <sheetViews>
    <sheetView zoomScaleNormal="100" workbookViewId="0">
      <selection activeCell="O40" sqref="O40"/>
    </sheetView>
  </sheetViews>
  <sheetFormatPr baseColWidth="10" defaultColWidth="8.83203125" defaultRowHeight="15" x14ac:dyDescent="0.2"/>
  <cols>
    <col min="1" max="1" width="6.33203125" customWidth="1"/>
    <col min="2" max="2" width="25" customWidth="1"/>
    <col min="3" max="3" width="7.1640625" bestFit="1" customWidth="1"/>
    <col min="4" max="4" width="33.33203125" bestFit="1" customWidth="1"/>
    <col min="5" max="5" width="37.33203125" bestFit="1" customWidth="1"/>
    <col min="6" max="6" width="34.5" bestFit="1" customWidth="1"/>
    <col min="7" max="7" width="17.6640625" customWidth="1"/>
    <col min="18" max="18" width="9.1640625" customWidth="1"/>
  </cols>
  <sheetData>
    <row r="2" spans="1:23" ht="16" thickBot="1" x14ac:dyDescent="0.25">
      <c r="A2" s="58"/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</row>
    <row r="3" spans="1:23" ht="32" thickBot="1" x14ac:dyDescent="0.4">
      <c r="A3" s="58"/>
      <c r="B3" s="922" t="s">
        <v>457</v>
      </c>
      <c r="C3" s="923"/>
      <c r="D3" s="923"/>
      <c r="E3" s="923"/>
      <c r="F3" s="924"/>
      <c r="G3" s="58"/>
      <c r="H3" s="58"/>
      <c r="I3" s="870" t="s">
        <v>663</v>
      </c>
      <c r="J3" s="871"/>
      <c r="K3" s="871"/>
      <c r="L3" s="871"/>
      <c r="M3" s="871"/>
      <c r="N3" s="871"/>
      <c r="O3" s="871"/>
      <c r="P3" s="871"/>
      <c r="Q3" s="871"/>
      <c r="R3" s="871"/>
      <c r="S3" s="871"/>
      <c r="T3" s="871"/>
      <c r="U3" s="871"/>
      <c r="V3" s="872"/>
      <c r="W3" s="58"/>
    </row>
    <row r="4" spans="1:23" ht="31" x14ac:dyDescent="0.2">
      <c r="A4" s="58"/>
      <c r="B4" s="235" t="s">
        <v>107</v>
      </c>
      <c r="C4" s="1032" t="str">
        <f>Input!C24</f>
        <v>Grinder (large)</v>
      </c>
      <c r="D4" s="1033"/>
      <c r="E4" s="1034"/>
      <c r="F4" s="299" t="s">
        <v>233</v>
      </c>
      <c r="G4" s="58"/>
      <c r="H4" s="58"/>
      <c r="I4" s="873"/>
      <c r="J4" s="874"/>
      <c r="K4" s="874"/>
      <c r="L4" s="874"/>
      <c r="M4" s="874"/>
      <c r="N4" s="874"/>
      <c r="O4" s="874"/>
      <c r="P4" s="874"/>
      <c r="Q4" s="874"/>
      <c r="R4" s="874"/>
      <c r="S4" s="874"/>
      <c r="T4" s="874"/>
      <c r="U4" s="874"/>
      <c r="V4" s="875"/>
      <c r="W4" s="58"/>
    </row>
    <row r="5" spans="1:23" ht="23.25" customHeight="1" x14ac:dyDescent="0.2">
      <c r="A5" s="58"/>
      <c r="B5" s="274" t="s">
        <v>237</v>
      </c>
      <c r="C5" s="1026">
        <f>IF(C4 = "Chipper (small)", AVERAGE(D12:D15), IF(C4="Chipper (large)", AVERAGE(D16:D19), IF(C4= "Grinder (small)", AVERAGE(D22:D23), IF(C4="Grinder (large)", AVERAGE(D24:D28),""))))</f>
        <v>31.088000000000001</v>
      </c>
      <c r="D5" s="1027"/>
      <c r="E5" s="1028"/>
      <c r="F5" s="300" t="s">
        <v>442</v>
      </c>
      <c r="G5" s="58"/>
      <c r="H5" s="58"/>
      <c r="I5" s="873"/>
      <c r="J5" s="874"/>
      <c r="K5" s="874"/>
      <c r="L5" s="874"/>
      <c r="M5" s="874"/>
      <c r="N5" s="874"/>
      <c r="O5" s="874"/>
      <c r="P5" s="874"/>
      <c r="Q5" s="874"/>
      <c r="R5" s="874"/>
      <c r="S5" s="874"/>
      <c r="T5" s="874"/>
      <c r="U5" s="874"/>
      <c r="V5" s="875"/>
      <c r="W5" s="58"/>
    </row>
    <row r="6" spans="1:23" ht="24" customHeight="1" x14ac:dyDescent="0.2">
      <c r="A6" s="58"/>
      <c r="B6" s="934" t="s">
        <v>247</v>
      </c>
      <c r="C6" s="909">
        <f>IF(C4="None","",IF(C4="Grinder (small)",'Machine Rates'!AH17,IF(C4="Grinder (large)",'Machine Rates'!AJ17,IF(C4="Chipper (small)",'Machine Rates'!AD17,'Machine Rates'!AF17)))/C5)</f>
        <v>10.661101550437467</v>
      </c>
      <c r="D6" s="910"/>
      <c r="E6" s="1021"/>
      <c r="F6" s="296" t="s">
        <v>159</v>
      </c>
      <c r="G6" s="58"/>
      <c r="H6" s="58"/>
      <c r="I6" s="873"/>
      <c r="J6" s="874"/>
      <c r="K6" s="874"/>
      <c r="L6" s="874"/>
      <c r="M6" s="874"/>
      <c r="N6" s="874"/>
      <c r="O6" s="874"/>
      <c r="P6" s="874"/>
      <c r="Q6" s="874"/>
      <c r="R6" s="874"/>
      <c r="S6" s="874"/>
      <c r="T6" s="874"/>
      <c r="U6" s="874"/>
      <c r="V6" s="875"/>
      <c r="W6" s="58"/>
    </row>
    <row r="7" spans="1:23" ht="25" thickBot="1" x14ac:dyDescent="0.25">
      <c r="A7" s="58"/>
      <c r="B7" s="935"/>
      <c r="C7" s="911">
        <f>IF(C4="None","",C6*'Tree volume estimation'!A1*(1-50/100))</f>
        <v>66.228914210001662</v>
      </c>
      <c r="D7" s="912"/>
      <c r="E7" s="1022"/>
      <c r="F7" s="297" t="s">
        <v>156</v>
      </c>
      <c r="G7" s="58"/>
      <c r="H7" s="58"/>
      <c r="I7" s="873"/>
      <c r="J7" s="874"/>
      <c r="K7" s="874"/>
      <c r="L7" s="874"/>
      <c r="M7" s="874"/>
      <c r="N7" s="874"/>
      <c r="O7" s="874"/>
      <c r="P7" s="874"/>
      <c r="Q7" s="874"/>
      <c r="R7" s="874"/>
      <c r="S7" s="874"/>
      <c r="T7" s="874"/>
      <c r="U7" s="874"/>
      <c r="V7" s="875"/>
      <c r="W7" s="58"/>
    </row>
    <row r="8" spans="1:23" ht="16" thickBot="1" x14ac:dyDescent="0.25">
      <c r="A8" s="58"/>
      <c r="B8" s="58"/>
      <c r="C8" s="58"/>
      <c r="D8" s="58"/>
      <c r="E8" s="58"/>
      <c r="F8" s="58"/>
      <c r="G8" s="58"/>
      <c r="H8" s="58"/>
      <c r="I8" s="873"/>
      <c r="J8" s="874"/>
      <c r="K8" s="874"/>
      <c r="L8" s="874"/>
      <c r="M8" s="874"/>
      <c r="N8" s="874"/>
      <c r="O8" s="874"/>
      <c r="P8" s="874"/>
      <c r="Q8" s="874"/>
      <c r="R8" s="874"/>
      <c r="S8" s="874"/>
      <c r="T8" s="874"/>
      <c r="U8" s="874"/>
      <c r="V8" s="875"/>
      <c r="W8" s="58"/>
    </row>
    <row r="9" spans="1:23" ht="32" thickBot="1" x14ac:dyDescent="0.4">
      <c r="A9" s="58"/>
      <c r="B9" s="936" t="s">
        <v>458</v>
      </c>
      <c r="C9" s="937"/>
      <c r="D9" s="937"/>
      <c r="E9" s="937"/>
      <c r="F9" s="937"/>
      <c r="G9" s="938"/>
      <c r="H9" s="58"/>
      <c r="I9" s="873"/>
      <c r="J9" s="874"/>
      <c r="K9" s="874"/>
      <c r="L9" s="874"/>
      <c r="M9" s="874"/>
      <c r="N9" s="874"/>
      <c r="O9" s="874"/>
      <c r="P9" s="874"/>
      <c r="Q9" s="874"/>
      <c r="R9" s="874"/>
      <c r="S9" s="874"/>
      <c r="T9" s="874"/>
      <c r="U9" s="874"/>
      <c r="V9" s="875"/>
      <c r="W9" s="58"/>
    </row>
    <row r="10" spans="1:23" ht="25" thickBot="1" x14ac:dyDescent="0.25">
      <c r="A10" s="58"/>
      <c r="B10" s="1029" t="s">
        <v>459</v>
      </c>
      <c r="C10" s="1030"/>
      <c r="D10" s="1030"/>
      <c r="E10" s="1030"/>
      <c r="F10" s="1030"/>
      <c r="G10" s="1031"/>
      <c r="H10" s="58"/>
      <c r="I10" s="876"/>
      <c r="J10" s="877"/>
      <c r="K10" s="877"/>
      <c r="L10" s="877"/>
      <c r="M10" s="877"/>
      <c r="N10" s="877"/>
      <c r="O10" s="877"/>
      <c r="P10" s="877"/>
      <c r="Q10" s="877"/>
      <c r="R10" s="877"/>
      <c r="S10" s="877"/>
      <c r="T10" s="877"/>
      <c r="U10" s="877"/>
      <c r="V10" s="878"/>
      <c r="W10" s="58"/>
    </row>
    <row r="11" spans="1:23" ht="19" x14ac:dyDescent="0.2">
      <c r="A11" s="58"/>
      <c r="B11" s="290" t="s">
        <v>460</v>
      </c>
      <c r="C11" s="291" t="s">
        <v>461</v>
      </c>
      <c r="D11" s="291" t="s">
        <v>462</v>
      </c>
      <c r="E11" s="291" t="s">
        <v>463</v>
      </c>
      <c r="F11" s="291" t="s">
        <v>688</v>
      </c>
      <c r="G11" s="292" t="s">
        <v>464</v>
      </c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</row>
    <row r="12" spans="1:23" ht="19" x14ac:dyDescent="0.25">
      <c r="A12" s="58"/>
      <c r="B12" s="275" t="s">
        <v>762</v>
      </c>
      <c r="C12" s="268">
        <v>440</v>
      </c>
      <c r="D12" s="268">
        <v>12.9</v>
      </c>
      <c r="E12" s="196" t="s">
        <v>465</v>
      </c>
      <c r="F12" s="196" t="s">
        <v>308</v>
      </c>
      <c r="G12" s="301" t="s">
        <v>466</v>
      </c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</row>
    <row r="13" spans="1:23" ht="19" x14ac:dyDescent="0.25">
      <c r="A13" s="58"/>
      <c r="B13" s="275" t="s">
        <v>762</v>
      </c>
      <c r="C13" s="268">
        <v>440</v>
      </c>
      <c r="D13" s="268">
        <v>14.7</v>
      </c>
      <c r="E13" s="196" t="s">
        <v>467</v>
      </c>
      <c r="F13" s="196" t="s">
        <v>764</v>
      </c>
      <c r="G13" s="301" t="s">
        <v>468</v>
      </c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</row>
    <row r="14" spans="1:23" ht="19" x14ac:dyDescent="0.25">
      <c r="A14" s="58"/>
      <c r="B14" s="275" t="s">
        <v>762</v>
      </c>
      <c r="C14" s="268">
        <v>500</v>
      </c>
      <c r="D14" s="268">
        <v>14.6</v>
      </c>
      <c r="E14" s="196" t="s">
        <v>469</v>
      </c>
      <c r="F14" s="196" t="s">
        <v>765</v>
      </c>
      <c r="G14" s="301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</row>
    <row r="15" spans="1:23" ht="19" x14ac:dyDescent="0.25">
      <c r="A15" s="58"/>
      <c r="B15" s="275" t="s">
        <v>762</v>
      </c>
      <c r="C15" s="268">
        <v>650</v>
      </c>
      <c r="D15" s="268">
        <v>12.4</v>
      </c>
      <c r="E15" s="196" t="s">
        <v>470</v>
      </c>
      <c r="F15" s="196" t="s">
        <v>766</v>
      </c>
      <c r="G15" s="301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</row>
    <row r="16" spans="1:23" ht="19" x14ac:dyDescent="0.25">
      <c r="A16" s="58"/>
      <c r="B16" s="276" t="s">
        <v>763</v>
      </c>
      <c r="C16" s="269">
        <v>750</v>
      </c>
      <c r="D16" s="269">
        <v>16.399999999999999</v>
      </c>
      <c r="E16" s="197" t="s">
        <v>471</v>
      </c>
      <c r="F16" s="197" t="s">
        <v>767</v>
      </c>
      <c r="G16" s="302" t="s">
        <v>468</v>
      </c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</row>
    <row r="17" spans="1:23" ht="19" x14ac:dyDescent="0.25">
      <c r="A17" s="58"/>
      <c r="B17" s="276" t="s">
        <v>763</v>
      </c>
      <c r="C17" s="269">
        <v>755</v>
      </c>
      <c r="D17" s="269">
        <v>41.5</v>
      </c>
      <c r="E17" s="197" t="s">
        <v>472</v>
      </c>
      <c r="F17" s="197" t="s">
        <v>768</v>
      </c>
      <c r="G17" s="302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</row>
    <row r="18" spans="1:23" ht="19" x14ac:dyDescent="0.25">
      <c r="A18" s="58"/>
      <c r="B18" s="276" t="s">
        <v>763</v>
      </c>
      <c r="C18" s="269">
        <v>950</v>
      </c>
      <c r="D18" s="269">
        <v>25.6</v>
      </c>
      <c r="E18" s="197" t="s">
        <v>473</v>
      </c>
      <c r="F18" s="197" t="s">
        <v>769</v>
      </c>
      <c r="G18" s="302" t="s">
        <v>474</v>
      </c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</row>
    <row r="19" spans="1:23" ht="20" thickBot="1" x14ac:dyDescent="0.3">
      <c r="A19" s="58"/>
      <c r="B19" s="277" t="s">
        <v>763</v>
      </c>
      <c r="C19" s="272">
        <v>1050</v>
      </c>
      <c r="D19" s="273">
        <v>52</v>
      </c>
      <c r="E19" s="209" t="s">
        <v>475</v>
      </c>
      <c r="F19" s="209" t="s">
        <v>770</v>
      </c>
      <c r="G19" s="303"/>
      <c r="H19" s="58"/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</row>
    <row r="20" spans="1:23" ht="24" x14ac:dyDescent="0.2">
      <c r="A20" s="58"/>
      <c r="B20" s="1029" t="s">
        <v>476</v>
      </c>
      <c r="C20" s="1030"/>
      <c r="D20" s="1030"/>
      <c r="E20" s="1030"/>
      <c r="F20" s="1030"/>
      <c r="G20" s="1031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</row>
    <row r="21" spans="1:23" ht="19" x14ac:dyDescent="0.2">
      <c r="A21" s="58"/>
      <c r="B21" s="290" t="s">
        <v>460</v>
      </c>
      <c r="C21" s="291" t="s">
        <v>461</v>
      </c>
      <c r="D21" s="291" t="s">
        <v>462</v>
      </c>
      <c r="E21" s="291" t="s">
        <v>463</v>
      </c>
      <c r="F21" s="291" t="s">
        <v>688</v>
      </c>
      <c r="G21" s="292" t="s">
        <v>477</v>
      </c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</row>
    <row r="22" spans="1:23" ht="19" x14ac:dyDescent="0.25">
      <c r="A22" s="58"/>
      <c r="B22" s="275" t="s">
        <v>762</v>
      </c>
      <c r="C22" s="268">
        <v>630</v>
      </c>
      <c r="D22" s="271">
        <v>14.5</v>
      </c>
      <c r="E22" s="196" t="s">
        <v>478</v>
      </c>
      <c r="F22" s="196" t="s">
        <v>771</v>
      </c>
      <c r="G22" s="304" t="s">
        <v>466</v>
      </c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</row>
    <row r="23" spans="1:23" ht="19" x14ac:dyDescent="0.25">
      <c r="A23" s="58"/>
      <c r="B23" s="275" t="s">
        <v>762</v>
      </c>
      <c r="C23" s="268">
        <v>630</v>
      </c>
      <c r="D23" s="268">
        <v>12.3</v>
      </c>
      <c r="E23" s="196" t="s">
        <v>479</v>
      </c>
      <c r="F23" s="196" t="s">
        <v>766</v>
      </c>
      <c r="G23" s="304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</row>
    <row r="24" spans="1:23" ht="19" x14ac:dyDescent="0.25">
      <c r="A24" s="58"/>
      <c r="B24" s="276" t="s">
        <v>763</v>
      </c>
      <c r="C24" s="269">
        <v>765</v>
      </c>
      <c r="D24" s="269">
        <v>27.5</v>
      </c>
      <c r="E24" s="197" t="s">
        <v>480</v>
      </c>
      <c r="F24" s="197" t="s">
        <v>772</v>
      </c>
      <c r="G24" s="302" t="s">
        <v>466</v>
      </c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</row>
    <row r="25" spans="1:23" ht="19" x14ac:dyDescent="0.25">
      <c r="A25" s="58"/>
      <c r="B25" s="276" t="s">
        <v>763</v>
      </c>
      <c r="C25" s="269">
        <v>1050</v>
      </c>
      <c r="D25" s="269">
        <v>28.6</v>
      </c>
      <c r="E25" s="197" t="s">
        <v>481</v>
      </c>
      <c r="F25" s="197" t="s">
        <v>772</v>
      </c>
      <c r="G25" s="302" t="s">
        <v>466</v>
      </c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</row>
    <row r="26" spans="1:23" ht="19" x14ac:dyDescent="0.25">
      <c r="A26" s="58"/>
      <c r="B26" s="276" t="s">
        <v>763</v>
      </c>
      <c r="C26" s="269">
        <v>1050</v>
      </c>
      <c r="D26" s="270">
        <v>31.8</v>
      </c>
      <c r="E26" s="197" t="s">
        <v>481</v>
      </c>
      <c r="F26" s="197" t="s">
        <v>772</v>
      </c>
      <c r="G26" s="302" t="s">
        <v>466</v>
      </c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</row>
    <row r="27" spans="1:23" ht="19" x14ac:dyDescent="0.25">
      <c r="A27" s="58"/>
      <c r="B27" s="276" t="s">
        <v>763</v>
      </c>
      <c r="C27" s="269">
        <v>1050</v>
      </c>
      <c r="D27" s="270">
        <v>29.5</v>
      </c>
      <c r="E27" s="197" t="s">
        <v>482</v>
      </c>
      <c r="F27" s="197" t="s">
        <v>773</v>
      </c>
      <c r="G27" s="302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</row>
    <row r="28" spans="1:23" ht="20" thickBot="1" x14ac:dyDescent="0.3">
      <c r="A28" s="58"/>
      <c r="B28" s="277" t="s">
        <v>763</v>
      </c>
      <c r="C28" s="272">
        <v>1050</v>
      </c>
      <c r="D28" s="273">
        <v>38.04</v>
      </c>
      <c r="E28" s="209" t="s">
        <v>483</v>
      </c>
      <c r="F28" s="209" t="s">
        <v>774</v>
      </c>
      <c r="G28" s="303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</row>
    <row r="29" spans="1:23" x14ac:dyDescent="0.2">
      <c r="A29" s="58"/>
      <c r="B29" s="58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</row>
    <row r="30" spans="1:23" x14ac:dyDescent="0.2">
      <c r="A30" s="58"/>
      <c r="B30" s="58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</row>
  </sheetData>
  <mergeCells count="10">
    <mergeCell ref="I3:V10"/>
    <mergeCell ref="B3:F3"/>
    <mergeCell ref="B20:G20"/>
    <mergeCell ref="C7:E7"/>
    <mergeCell ref="C4:E4"/>
    <mergeCell ref="C5:E5"/>
    <mergeCell ref="C6:E6"/>
    <mergeCell ref="B6:B7"/>
    <mergeCell ref="B10:G10"/>
    <mergeCell ref="B9:G9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1A450-A79A-4585-A1DF-E065B9A285DD}">
  <sheetPr>
    <tabColor rgb="FFFFFF00"/>
  </sheetPr>
  <dimension ref="A3:X22"/>
  <sheetViews>
    <sheetView zoomScale="126" zoomScaleNormal="126" workbookViewId="0">
      <selection activeCell="G23" sqref="G23"/>
    </sheetView>
  </sheetViews>
  <sheetFormatPr baseColWidth="10" defaultColWidth="8.83203125" defaultRowHeight="15" x14ac:dyDescent="0.2"/>
  <cols>
    <col min="2" max="2" width="41.5" bestFit="1" customWidth="1"/>
    <col min="3" max="3" width="21.5" customWidth="1"/>
    <col min="4" max="4" width="21.83203125" customWidth="1"/>
    <col min="5" max="5" width="19.1640625" customWidth="1"/>
    <col min="6" max="6" width="4.5" customWidth="1"/>
    <col min="7" max="7" width="39.83203125" customWidth="1"/>
    <col min="8" max="8" width="26.1640625" customWidth="1"/>
    <col min="9" max="9" width="19.1640625" customWidth="1"/>
    <col min="10" max="10" width="19.83203125" customWidth="1"/>
    <col min="11" max="11" width="4.5" customWidth="1"/>
    <col min="20" max="24" width="9.1640625" customWidth="1"/>
  </cols>
  <sheetData>
    <row r="3" spans="1:24" ht="16" thickBot="1" x14ac:dyDescent="0.25">
      <c r="A3" s="58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</row>
    <row r="4" spans="1:24" ht="32.25" customHeight="1" thickBot="1" x14ac:dyDescent="0.4">
      <c r="A4" s="58"/>
      <c r="B4" s="1054" t="s">
        <v>163</v>
      </c>
      <c r="C4" s="1055"/>
      <c r="D4" s="1055"/>
      <c r="E4" s="1056"/>
      <c r="F4" s="58"/>
      <c r="G4" s="1054" t="s">
        <v>664</v>
      </c>
      <c r="H4" s="1055"/>
      <c r="I4" s="1055"/>
      <c r="J4" s="1056"/>
      <c r="K4" s="58"/>
      <c r="L4" s="870" t="s">
        <v>789</v>
      </c>
      <c r="M4" s="1038"/>
      <c r="N4" s="1038"/>
      <c r="O4" s="1038"/>
      <c r="P4" s="1038"/>
      <c r="Q4" s="1038"/>
      <c r="R4" s="1038"/>
      <c r="S4" s="1038"/>
      <c r="T4" s="1039"/>
      <c r="U4" s="58"/>
      <c r="V4" s="261"/>
      <c r="W4" s="261"/>
      <c r="X4" s="261"/>
    </row>
    <row r="5" spans="1:24" ht="32.25" customHeight="1" x14ac:dyDescent="0.2">
      <c r="A5" s="58"/>
      <c r="B5" s="684" t="s">
        <v>107</v>
      </c>
      <c r="C5" s="925" t="str">
        <f>Input!C19</f>
        <v>Truck</v>
      </c>
      <c r="D5" s="927"/>
      <c r="E5" s="293" t="s">
        <v>233</v>
      </c>
      <c r="F5" s="58"/>
      <c r="G5" s="281" t="s">
        <v>107</v>
      </c>
      <c r="H5" s="986" t="str">
        <f>Input!C25</f>
        <v>Chip van</v>
      </c>
      <c r="I5" s="1061"/>
      <c r="J5" s="470" t="s">
        <v>233</v>
      </c>
      <c r="K5" s="58"/>
      <c r="L5" s="1040"/>
      <c r="M5" s="1041"/>
      <c r="N5" s="1041"/>
      <c r="O5" s="1041"/>
      <c r="P5" s="1041"/>
      <c r="Q5" s="1041"/>
      <c r="R5" s="1041"/>
      <c r="S5" s="1041"/>
      <c r="T5" s="1042"/>
      <c r="U5" s="58"/>
    </row>
    <row r="6" spans="1:24" ht="23.25" customHeight="1" x14ac:dyDescent="0.2">
      <c r="A6" s="58"/>
      <c r="B6" s="685" t="s">
        <v>237</v>
      </c>
      <c r="C6" s="1059">
        <f>C11/E20</f>
        <v>4.2913192741539969</v>
      </c>
      <c r="D6" s="1060"/>
      <c r="E6" s="294" t="s">
        <v>238</v>
      </c>
      <c r="F6" s="58"/>
      <c r="G6" s="282" t="s">
        <v>237</v>
      </c>
      <c r="H6" s="1059">
        <f>H12*(1-H11/100)/J20</f>
        <v>7.2625698324022343</v>
      </c>
      <c r="I6" s="1060"/>
      <c r="J6" s="300" t="s">
        <v>442</v>
      </c>
      <c r="K6" s="58"/>
      <c r="L6" s="1040"/>
      <c r="M6" s="1041"/>
      <c r="N6" s="1041"/>
      <c r="O6" s="1041"/>
      <c r="P6" s="1041"/>
      <c r="Q6" s="1041"/>
      <c r="R6" s="1041"/>
      <c r="S6" s="1041"/>
      <c r="T6" s="1042"/>
      <c r="U6" s="58"/>
    </row>
    <row r="7" spans="1:24" ht="23.25" customHeight="1" x14ac:dyDescent="0.2">
      <c r="A7" s="58"/>
      <c r="B7" s="934" t="s">
        <v>247</v>
      </c>
      <c r="C7" s="1049">
        <f>IF(C5="None","",'Machine Rates'!AL17/C6)</f>
        <v>37.981355708299326</v>
      </c>
      <c r="D7" s="1050"/>
      <c r="E7" s="296" t="s">
        <v>157</v>
      </c>
      <c r="F7" s="58"/>
      <c r="G7" s="934" t="s">
        <v>247</v>
      </c>
      <c r="H7" s="1049">
        <f>IF(H5="None","",'Machine Rates'!AN17/H6)</f>
        <v>21.218394778388276</v>
      </c>
      <c r="I7" s="1050"/>
      <c r="J7" s="296" t="s">
        <v>159</v>
      </c>
      <c r="K7" s="58"/>
      <c r="L7" s="1040"/>
      <c r="M7" s="1041"/>
      <c r="N7" s="1041"/>
      <c r="O7" s="1041"/>
      <c r="P7" s="1041"/>
      <c r="Q7" s="1041"/>
      <c r="R7" s="1041"/>
      <c r="S7" s="1041"/>
      <c r="T7" s="1042"/>
      <c r="U7" s="58"/>
    </row>
    <row r="8" spans="1:24" ht="24" customHeight="1" thickBot="1" x14ac:dyDescent="0.25">
      <c r="A8" s="58"/>
      <c r="B8" s="935"/>
      <c r="C8" s="1057">
        <f>C7*IF(Input!C8=4,'Tree volume estimation'!P6,'Tree volume estimation'!U6)</f>
        <v>1153.8445085987935</v>
      </c>
      <c r="D8" s="1058"/>
      <c r="E8" s="297" t="s">
        <v>156</v>
      </c>
      <c r="F8" s="58"/>
      <c r="G8" s="935"/>
      <c r="H8" s="1057">
        <f>IF(H5="None","",IF(Input!C8=4,H7*'Tree volume estimation'!P9*0.5,H7*'Tree volume estimation'!U9*0.5))</f>
        <v>131.81295017250451</v>
      </c>
      <c r="I8" s="1058"/>
      <c r="J8" s="297" t="s">
        <v>156</v>
      </c>
      <c r="K8" s="58"/>
      <c r="L8" s="1040"/>
      <c r="M8" s="1041"/>
      <c r="N8" s="1041"/>
      <c r="O8" s="1041"/>
      <c r="P8" s="1041"/>
      <c r="Q8" s="1041"/>
      <c r="R8" s="1041"/>
      <c r="S8" s="1041"/>
      <c r="T8" s="1042"/>
      <c r="U8" s="58"/>
    </row>
    <row r="9" spans="1:24" ht="15" customHeight="1" thickBot="1" x14ac:dyDescent="0.25">
      <c r="A9" s="58"/>
      <c r="B9" s="58"/>
      <c r="C9" s="58"/>
      <c r="D9" s="58"/>
      <c r="E9" s="58"/>
      <c r="F9" s="58"/>
      <c r="G9" s="58"/>
      <c r="H9" s="58"/>
      <c r="I9" s="58"/>
      <c r="J9" s="58"/>
      <c r="K9" s="58"/>
      <c r="L9" s="1040"/>
      <c r="M9" s="1041"/>
      <c r="N9" s="1041"/>
      <c r="O9" s="1041"/>
      <c r="P9" s="1041"/>
      <c r="Q9" s="1041"/>
      <c r="R9" s="1041"/>
      <c r="S9" s="1041"/>
      <c r="T9" s="1042"/>
      <c r="U9" s="58"/>
    </row>
    <row r="10" spans="1:24" ht="19" x14ac:dyDescent="0.25">
      <c r="A10" s="58"/>
      <c r="B10" s="1051" t="s">
        <v>484</v>
      </c>
      <c r="C10" s="1052"/>
      <c r="D10" s="1052"/>
      <c r="E10" s="1053"/>
      <c r="F10" s="58"/>
      <c r="G10" s="1051" t="s">
        <v>120</v>
      </c>
      <c r="H10" s="1052"/>
      <c r="I10" s="1052"/>
      <c r="J10" s="1053"/>
      <c r="K10" s="58"/>
      <c r="L10" s="1040"/>
      <c r="M10" s="1041"/>
      <c r="N10" s="1041"/>
      <c r="O10" s="1041"/>
      <c r="P10" s="1041"/>
      <c r="Q10" s="1041"/>
      <c r="R10" s="1041"/>
      <c r="S10" s="1041"/>
      <c r="T10" s="1042"/>
      <c r="U10" s="58"/>
    </row>
    <row r="11" spans="1:24" ht="16" thickBot="1" x14ac:dyDescent="0.25">
      <c r="A11" s="58"/>
      <c r="B11" s="458" t="s">
        <v>776</v>
      </c>
      <c r="C11" s="686">
        <v>25</v>
      </c>
      <c r="D11" s="687" t="s">
        <v>535</v>
      </c>
      <c r="E11" s="688"/>
      <c r="F11" s="58"/>
      <c r="G11" s="129" t="s">
        <v>775</v>
      </c>
      <c r="H11" s="180">
        <v>40</v>
      </c>
      <c r="I11" s="474" t="s">
        <v>95</v>
      </c>
      <c r="J11" s="319"/>
      <c r="K11" s="58"/>
      <c r="L11" s="1040"/>
      <c r="M11" s="1041"/>
      <c r="N11" s="1041"/>
      <c r="O11" s="1041"/>
      <c r="P11" s="1041"/>
      <c r="Q11" s="1041"/>
      <c r="R11" s="1041"/>
      <c r="S11" s="1041"/>
      <c r="T11" s="1042"/>
      <c r="U11" s="58"/>
    </row>
    <row r="12" spans="1:24" ht="16" thickBot="1" x14ac:dyDescent="0.25">
      <c r="A12" s="58"/>
      <c r="B12" s="58"/>
      <c r="C12" s="58"/>
      <c r="D12" s="58"/>
      <c r="E12" s="58"/>
      <c r="F12" s="58"/>
      <c r="G12" s="458" t="s">
        <v>776</v>
      </c>
      <c r="H12" s="686">
        <v>25</v>
      </c>
      <c r="I12" s="687" t="s">
        <v>535</v>
      </c>
      <c r="J12" s="688"/>
      <c r="K12" s="58"/>
      <c r="L12" s="1040"/>
      <c r="M12" s="1041"/>
      <c r="N12" s="1041"/>
      <c r="O12" s="1041"/>
      <c r="P12" s="1041"/>
      <c r="Q12" s="1041"/>
      <c r="R12" s="1041"/>
      <c r="S12" s="1041"/>
      <c r="T12" s="1042"/>
      <c r="U12" s="58"/>
    </row>
    <row r="13" spans="1:24" ht="6.75" customHeight="1" x14ac:dyDescent="0.2">
      <c r="A13" s="58"/>
      <c r="B13" s="58"/>
      <c r="C13" s="58"/>
      <c r="D13" s="58"/>
      <c r="E13" s="58"/>
      <c r="F13" s="58"/>
      <c r="G13" s="58"/>
      <c r="H13" s="58"/>
      <c r="I13" s="58"/>
      <c r="J13" s="58"/>
      <c r="K13" s="58"/>
      <c r="L13" s="1040"/>
      <c r="M13" s="1041"/>
      <c r="N13" s="1041"/>
      <c r="O13" s="1041"/>
      <c r="P13" s="1041"/>
      <c r="Q13" s="1041"/>
      <c r="R13" s="1041"/>
      <c r="S13" s="1041"/>
      <c r="T13" s="1042"/>
      <c r="U13" s="58"/>
    </row>
    <row r="14" spans="1:24" x14ac:dyDescent="0.2">
      <c r="A14" s="58"/>
      <c r="B14" s="443" t="s">
        <v>485</v>
      </c>
      <c r="C14" s="320" t="s">
        <v>486</v>
      </c>
      <c r="D14" s="321" t="s">
        <v>487</v>
      </c>
      <c r="E14" s="319" t="s">
        <v>488</v>
      </c>
      <c r="F14" s="58"/>
      <c r="G14" s="443" t="s">
        <v>485</v>
      </c>
      <c r="H14" s="320" t="s">
        <v>486</v>
      </c>
      <c r="I14" s="321" t="s">
        <v>487</v>
      </c>
      <c r="J14" s="319" t="s">
        <v>488</v>
      </c>
      <c r="K14" s="58"/>
      <c r="L14" s="1040"/>
      <c r="M14" s="1041"/>
      <c r="N14" s="1041"/>
      <c r="O14" s="1041"/>
      <c r="P14" s="1041"/>
      <c r="Q14" s="1041"/>
      <c r="R14" s="1041"/>
      <c r="S14" s="1041"/>
      <c r="T14" s="1042"/>
      <c r="U14" s="58"/>
    </row>
    <row r="15" spans="1:24" x14ac:dyDescent="0.2">
      <c r="A15" s="58"/>
      <c r="B15" s="130" t="s">
        <v>777</v>
      </c>
      <c r="C15" s="183">
        <v>10</v>
      </c>
      <c r="D15" s="384">
        <v>0.5</v>
      </c>
      <c r="E15" s="167">
        <f>D15/C15</f>
        <v>0.05</v>
      </c>
      <c r="F15" s="58"/>
      <c r="G15" s="130" t="s">
        <v>777</v>
      </c>
      <c r="H15" s="183">
        <v>10</v>
      </c>
      <c r="I15" s="384">
        <v>0.5</v>
      </c>
      <c r="J15" s="167">
        <f>I15/H15</f>
        <v>0.05</v>
      </c>
      <c r="K15" s="58"/>
      <c r="L15" s="1040"/>
      <c r="M15" s="1041"/>
      <c r="N15" s="1041"/>
      <c r="O15" s="1041"/>
      <c r="P15" s="1041"/>
      <c r="Q15" s="1041"/>
      <c r="R15" s="1041"/>
      <c r="S15" s="1041"/>
      <c r="T15" s="1042"/>
      <c r="U15" s="58"/>
    </row>
    <row r="16" spans="1:24" x14ac:dyDescent="0.2">
      <c r="A16" s="58"/>
      <c r="B16" s="129" t="s">
        <v>778</v>
      </c>
      <c r="C16" s="183">
        <v>25</v>
      </c>
      <c r="D16" s="384">
        <v>3</v>
      </c>
      <c r="E16" s="167">
        <f>D16/C16</f>
        <v>0.12</v>
      </c>
      <c r="F16" s="58"/>
      <c r="G16" s="129" t="s">
        <v>778</v>
      </c>
      <c r="H16" s="183">
        <v>20</v>
      </c>
      <c r="I16" s="384">
        <v>2</v>
      </c>
      <c r="J16" s="167">
        <f>I16/H16</f>
        <v>0.1</v>
      </c>
      <c r="K16" s="58"/>
      <c r="L16" s="1040"/>
      <c r="M16" s="1041"/>
      <c r="N16" s="1041"/>
      <c r="O16" s="1041"/>
      <c r="P16" s="1041"/>
      <c r="Q16" s="1041"/>
      <c r="R16" s="1041"/>
      <c r="S16" s="1041"/>
      <c r="T16" s="1042"/>
      <c r="U16" s="58"/>
    </row>
    <row r="17" spans="1:21" x14ac:dyDescent="0.2">
      <c r="A17" s="58"/>
      <c r="B17" s="130" t="s">
        <v>779</v>
      </c>
      <c r="C17" s="180">
        <v>50</v>
      </c>
      <c r="D17" s="384">
        <v>5</v>
      </c>
      <c r="E17" s="167">
        <f>D17/C17</f>
        <v>0.1</v>
      </c>
      <c r="F17" s="58"/>
      <c r="G17" s="130" t="s">
        <v>779</v>
      </c>
      <c r="H17" s="180">
        <v>50</v>
      </c>
      <c r="I17" s="384">
        <v>10</v>
      </c>
      <c r="J17" s="167">
        <f>I17/H17</f>
        <v>0.2</v>
      </c>
      <c r="K17" s="58"/>
      <c r="L17" s="1040"/>
      <c r="M17" s="1041"/>
      <c r="N17" s="1041"/>
      <c r="O17" s="1041"/>
      <c r="P17" s="1041"/>
      <c r="Q17" s="1041"/>
      <c r="R17" s="1041"/>
      <c r="S17" s="1041"/>
      <c r="T17" s="1042"/>
      <c r="U17" s="58"/>
    </row>
    <row r="18" spans="1:21" x14ac:dyDescent="0.2">
      <c r="A18" s="58"/>
      <c r="B18" s="129" t="s">
        <v>780</v>
      </c>
      <c r="C18" s="183">
        <v>70</v>
      </c>
      <c r="D18" s="384">
        <v>150</v>
      </c>
      <c r="E18" s="167">
        <f>D18/C18</f>
        <v>2.1428571428571428</v>
      </c>
      <c r="F18" s="58"/>
      <c r="G18" s="129" t="s">
        <v>780</v>
      </c>
      <c r="H18" s="183">
        <v>65</v>
      </c>
      <c r="I18" s="384">
        <v>20</v>
      </c>
      <c r="J18" s="167">
        <f>I18/H18</f>
        <v>0.30769230769230771</v>
      </c>
      <c r="K18" s="58"/>
      <c r="L18" s="1040"/>
      <c r="M18" s="1041"/>
      <c r="N18" s="1041"/>
      <c r="O18" s="1041"/>
      <c r="P18" s="1041"/>
      <c r="Q18" s="1041"/>
      <c r="R18" s="1041"/>
      <c r="S18" s="1041"/>
      <c r="T18" s="1042"/>
      <c r="U18" s="58"/>
    </row>
    <row r="19" spans="1:21" x14ac:dyDescent="0.2">
      <c r="A19" s="58"/>
      <c r="B19" s="1035" t="s">
        <v>781</v>
      </c>
      <c r="C19" s="1036"/>
      <c r="D19" s="1037"/>
      <c r="E19" s="168">
        <v>1</v>
      </c>
      <c r="F19" s="58"/>
      <c r="G19" s="1035" t="s">
        <v>781</v>
      </c>
      <c r="H19" s="1036"/>
      <c r="I19" s="1037"/>
      <c r="J19" s="168">
        <v>0.75</v>
      </c>
      <c r="K19" s="58"/>
      <c r="L19" s="1040"/>
      <c r="M19" s="1041"/>
      <c r="N19" s="1041"/>
      <c r="O19" s="1041"/>
      <c r="P19" s="1041"/>
      <c r="Q19" s="1041"/>
      <c r="R19" s="1041"/>
      <c r="S19" s="1041"/>
      <c r="T19" s="1042"/>
      <c r="U19" s="58"/>
    </row>
    <row r="20" spans="1:21" ht="16" thickBot="1" x14ac:dyDescent="0.25">
      <c r="A20" s="58"/>
      <c r="B20" s="1046" t="s">
        <v>808</v>
      </c>
      <c r="C20" s="1047"/>
      <c r="D20" s="1048"/>
      <c r="E20" s="469">
        <f>SUM(E15:E18)*2+E19</f>
        <v>5.8257142857142856</v>
      </c>
      <c r="F20" s="58"/>
      <c r="G20" s="1046" t="s">
        <v>808</v>
      </c>
      <c r="H20" s="1047"/>
      <c r="I20" s="1048"/>
      <c r="J20" s="469">
        <f>SUM(J15:J18)*2+J19</f>
        <v>2.0653846153846156</v>
      </c>
      <c r="K20" s="58"/>
      <c r="L20" s="1040"/>
      <c r="M20" s="1041"/>
      <c r="N20" s="1041"/>
      <c r="O20" s="1041"/>
      <c r="P20" s="1041"/>
      <c r="Q20" s="1041"/>
      <c r="R20" s="1041"/>
      <c r="S20" s="1041"/>
      <c r="T20" s="1042"/>
      <c r="U20" s="58"/>
    </row>
    <row r="21" spans="1:21" ht="16" thickBot="1" x14ac:dyDescent="0.25">
      <c r="A21" s="58"/>
      <c r="B21" s="58"/>
      <c r="C21" s="58"/>
      <c r="D21" s="58"/>
      <c r="E21" s="58"/>
      <c r="F21" s="58"/>
      <c r="G21" s="58"/>
      <c r="H21" s="58"/>
      <c r="I21" s="58"/>
      <c r="J21" s="58"/>
      <c r="K21" s="58"/>
      <c r="L21" s="1043"/>
      <c r="M21" s="1044"/>
      <c r="N21" s="1044"/>
      <c r="O21" s="1044"/>
      <c r="P21" s="1044"/>
      <c r="Q21" s="1044"/>
      <c r="R21" s="1044"/>
      <c r="S21" s="1044"/>
      <c r="T21" s="1045"/>
      <c r="U21" s="58"/>
    </row>
    <row r="22" spans="1:21" x14ac:dyDescent="0.2">
      <c r="A22" s="58"/>
      <c r="B22" s="58"/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</row>
  </sheetData>
  <mergeCells count="19">
    <mergeCell ref="H5:I5"/>
    <mergeCell ref="H6:I6"/>
    <mergeCell ref="B20:D20"/>
    <mergeCell ref="G19:I19"/>
    <mergeCell ref="B19:D19"/>
    <mergeCell ref="B7:B8"/>
    <mergeCell ref="L4:T21"/>
    <mergeCell ref="G20:I20"/>
    <mergeCell ref="H7:I7"/>
    <mergeCell ref="B10:E10"/>
    <mergeCell ref="B4:E4"/>
    <mergeCell ref="G10:J10"/>
    <mergeCell ref="H8:I8"/>
    <mergeCell ref="G7:G8"/>
    <mergeCell ref="G4:J4"/>
    <mergeCell ref="C5:D5"/>
    <mergeCell ref="C6:D6"/>
    <mergeCell ref="C7:D7"/>
    <mergeCell ref="C8:D8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FC720-F4CA-4FAC-9D55-48D08CED30F8}">
  <sheetPr>
    <tabColor rgb="FF7030A0"/>
  </sheetPr>
  <dimension ref="A1:AW148"/>
  <sheetViews>
    <sheetView topLeftCell="A4" zoomScale="160" zoomScaleNormal="160" workbookViewId="0">
      <selection activeCell="E33" sqref="E33"/>
    </sheetView>
  </sheetViews>
  <sheetFormatPr baseColWidth="10" defaultColWidth="8.83203125" defaultRowHeight="15" x14ac:dyDescent="0.2"/>
  <cols>
    <col min="2" max="2" width="10.5" style="15" customWidth="1"/>
    <col min="3" max="3" width="15.6640625" customWidth="1"/>
    <col min="4" max="4" width="12.1640625" customWidth="1"/>
    <col min="5" max="5" width="13.1640625" customWidth="1"/>
    <col min="6" max="6" width="12.6640625" bestFit="1" customWidth="1"/>
    <col min="7" max="7" width="12.6640625" customWidth="1"/>
    <col min="8" max="8" width="17" customWidth="1"/>
    <col min="9" max="9" width="17.5" customWidth="1"/>
    <col min="10" max="10" width="15.6640625" customWidth="1"/>
    <col min="11" max="11" width="12.5" customWidth="1"/>
    <col min="12" max="12" width="12.6640625" bestFit="1" customWidth="1"/>
    <col min="13" max="15" width="17.33203125" customWidth="1"/>
    <col min="16" max="16" width="11.5" bestFit="1" customWidth="1"/>
    <col min="17" max="17" width="12.83203125" customWidth="1"/>
    <col min="18" max="20" width="16.5" customWidth="1"/>
    <col min="21" max="21" width="12.33203125" bestFit="1" customWidth="1"/>
    <col min="22" max="22" width="11.5" bestFit="1" customWidth="1"/>
    <col min="23" max="24" width="12.83203125" customWidth="1"/>
    <col min="25" max="25" width="12.6640625" customWidth="1"/>
    <col min="26" max="26" width="10.5" bestFit="1" customWidth="1"/>
    <col min="27" max="27" width="12.33203125" bestFit="1" customWidth="1"/>
    <col min="28" max="28" width="11.5" bestFit="1" customWidth="1"/>
    <col min="29" max="29" width="12.83203125" customWidth="1"/>
    <col min="30" max="30" width="12.6640625" bestFit="1" customWidth="1"/>
    <col min="31" max="37" width="12.6640625" customWidth="1"/>
    <col min="38" max="43" width="9.1640625" hidden="1" customWidth="1"/>
    <col min="44" max="44" width="9.33203125" hidden="1" customWidth="1"/>
    <col min="45" max="47" width="9.1640625" hidden="1" customWidth="1"/>
    <col min="49" max="49" width="11" customWidth="1"/>
    <col min="50" max="50" width="8.83203125" customWidth="1"/>
    <col min="53" max="53" width="10.6640625" bestFit="1" customWidth="1"/>
  </cols>
  <sheetData>
    <row r="1" spans="1:43" ht="37" x14ac:dyDescent="0.2">
      <c r="A1" s="386">
        <f>IF(Input!C8=4,'Tree volume estimation'!P9,IF(Input!C8=6,'Tree volume estimation'!U9,'Tree volume estimation'!K9))</f>
        <v>12.424403594070265</v>
      </c>
      <c r="B1" s="750" t="s">
        <v>489</v>
      </c>
      <c r="C1" s="750"/>
      <c r="D1" s="750"/>
      <c r="E1" s="750"/>
      <c r="F1" s="750"/>
      <c r="G1" s="750"/>
      <c r="H1" s="750"/>
      <c r="I1" s="750"/>
      <c r="J1" s="750"/>
      <c r="K1" s="750"/>
      <c r="L1" s="750"/>
      <c r="M1" s="750"/>
      <c r="N1" s="750"/>
      <c r="O1" s="750"/>
      <c r="P1" s="750"/>
      <c r="Q1" s="750"/>
      <c r="R1" s="750"/>
      <c r="S1" s="750"/>
      <c r="T1" s="750"/>
      <c r="U1" s="750"/>
      <c r="V1" s="750"/>
      <c r="W1" s="750"/>
      <c r="X1" s="750"/>
      <c r="Y1" s="750"/>
      <c r="Z1" s="750"/>
      <c r="AA1" s="750"/>
      <c r="AB1" s="750"/>
      <c r="AC1" s="750"/>
      <c r="AD1" s="750"/>
      <c r="AE1" s="750"/>
      <c r="AF1" s="543"/>
      <c r="AG1" s="543"/>
      <c r="AH1" s="543"/>
      <c r="AI1" s="543"/>
      <c r="AJ1" s="543"/>
      <c r="AK1" s="543"/>
    </row>
    <row r="2" spans="1:43" ht="22.5" customHeight="1" thickBot="1" x14ac:dyDescent="0.25">
      <c r="B2" s="385"/>
      <c r="C2" s="385"/>
      <c r="D2" s="385"/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5"/>
      <c r="Q2" s="385"/>
      <c r="R2" s="217"/>
    </row>
    <row r="3" spans="1:43" ht="22" thickBot="1" x14ac:dyDescent="0.3">
      <c r="B3" s="1098" t="s">
        <v>675</v>
      </c>
      <c r="C3" s="1099"/>
      <c r="D3" s="1099"/>
      <c r="E3" s="1099"/>
      <c r="F3" s="1100"/>
      <c r="H3" s="1113" t="s">
        <v>490</v>
      </c>
      <c r="I3" s="1114"/>
      <c r="J3" s="1114"/>
      <c r="K3" s="1114"/>
      <c r="L3" s="1114"/>
      <c r="M3" s="1114"/>
      <c r="N3" s="1114"/>
      <c r="O3" s="1114"/>
      <c r="P3" s="1114"/>
      <c r="Q3" s="1114"/>
      <c r="R3" s="1114"/>
      <c r="S3" s="1114"/>
      <c r="T3" s="1114"/>
      <c r="U3" s="1114"/>
      <c r="V3" s="1115"/>
    </row>
    <row r="4" spans="1:43" ht="16" thickBot="1" x14ac:dyDescent="0.25">
      <c r="B4" s="1104" t="s">
        <v>491</v>
      </c>
      <c r="C4" s="1105"/>
      <c r="D4" s="1106"/>
      <c r="E4" s="387">
        <f>SUM(C25:C57,I25:I57,O25:O57,U25:U57,AA25:AA57,AG25:AG57)</f>
        <v>170.09999999999997</v>
      </c>
      <c r="F4" s="388" t="s">
        <v>492</v>
      </c>
      <c r="H4" s="1119" t="s">
        <v>493</v>
      </c>
      <c r="I4" s="1120"/>
      <c r="J4" s="1120"/>
      <c r="K4" s="1120"/>
      <c r="L4" s="1121"/>
      <c r="M4" s="1119" t="s">
        <v>494</v>
      </c>
      <c r="N4" s="1120"/>
      <c r="O4" s="1120"/>
      <c r="P4" s="1120"/>
      <c r="Q4" s="1121"/>
      <c r="R4" s="1119" t="s">
        <v>495</v>
      </c>
      <c r="S4" s="1120"/>
      <c r="T4" s="1120"/>
      <c r="U4" s="1120"/>
      <c r="V4" s="1121"/>
    </row>
    <row r="5" spans="1:43" x14ac:dyDescent="0.2">
      <c r="B5" s="1110" t="str">
        <f>IF(Input!C9="Pulpwood + Sawlogs"," Biomass trees (&lt; 7-inch) per acre", "Biomass trees (&lt; 9-inch) per acre")</f>
        <v xml:space="preserve"> Biomass trees (&lt; 7-inch) per acre</v>
      </c>
      <c r="C5" s="1111"/>
      <c r="D5" s="1112"/>
      <c r="E5" s="104">
        <f>IF(Input!C9="Sawlogs only",SUM(C68:C73,I68:I73,O68:O73,U68:U73,AA68:AA73,AG68:AG73),SUM(C68:C71,I68:I71,O68:O71,U68:U71,AA68:AA71,AG68:AG71))</f>
        <v>125.5</v>
      </c>
      <c r="F5" s="189" t="s">
        <v>492</v>
      </c>
      <c r="H5" s="1107" t="s">
        <v>496</v>
      </c>
      <c r="I5" s="1108"/>
      <c r="J5" s="1109"/>
      <c r="K5" s="341">
        <f>SUM(D59,J59,P59,V59,AB59,AH59)</f>
        <v>1048.1199263301871</v>
      </c>
      <c r="L5" s="342" t="s">
        <v>787</v>
      </c>
      <c r="M5" s="1107" t="s">
        <v>497</v>
      </c>
      <c r="N5" s="1108"/>
      <c r="O5" s="1109"/>
      <c r="P5" s="346">
        <f>SUM(D102,J102,P102,V102,AB102,AH102)</f>
        <v>1349.570594126066</v>
      </c>
      <c r="Q5" s="347" t="s">
        <v>788</v>
      </c>
      <c r="R5" s="1107" t="s">
        <v>497</v>
      </c>
      <c r="S5" s="1108"/>
      <c r="T5" s="1109"/>
      <c r="U5" s="346">
        <f>SUM(D146,J146,P146,V146,AB146,AH146)</f>
        <v>1280.6269468778037</v>
      </c>
      <c r="V5" s="347" t="s">
        <v>788</v>
      </c>
    </row>
    <row r="6" spans="1:43" x14ac:dyDescent="0.2">
      <c r="B6" s="1101" t="str">
        <f>IF(Input!C9="Pulpwood + Sawlogs", "Merchantable trees (≥ 7-inch) per acre", "Merchantable trees (≥ 9-inch) per acre")</f>
        <v>Merchantable trees (≥ 7-inch) per acre</v>
      </c>
      <c r="C6" s="1102"/>
      <c r="D6" s="1103"/>
      <c r="E6" s="104">
        <f>IF(Input!C9="Sawlogs only",SUM(C74:C100,I74:I100,O74:O100,U74:U100,AA74:AA100,AG74:AG100),SUM(C72:C100,I72:I100,O72:O100,U72:U100,AA72:AA100,AG72:AG100))</f>
        <v>44.6</v>
      </c>
      <c r="F6" s="189" t="s">
        <v>492</v>
      </c>
      <c r="H6" s="1122" t="s">
        <v>496</v>
      </c>
      <c r="I6" s="1123"/>
      <c r="J6" s="1124"/>
      <c r="K6" s="344">
        <f>SUM(F59,L59,R59,X59,AD59,AJ59)</f>
        <v>24.863666205387563</v>
      </c>
      <c r="L6" s="345" t="s">
        <v>498</v>
      </c>
      <c r="M6" s="1089" t="s">
        <v>499</v>
      </c>
      <c r="N6" s="1090"/>
      <c r="O6" s="1091"/>
      <c r="P6" s="344">
        <f>SUM(F102,L102,R102,X102,AD102,AJ102)</f>
        <v>32.014726492649686</v>
      </c>
      <c r="Q6" s="345" t="s">
        <v>498</v>
      </c>
      <c r="R6" s="1089" t="s">
        <v>499</v>
      </c>
      <c r="S6" s="1090"/>
      <c r="T6" s="1091"/>
      <c r="U6" s="344">
        <f>SUM(F146,L146,R146,X146,AD146,AJ146)</f>
        <v>30.379234418603609</v>
      </c>
      <c r="V6" s="348" t="s">
        <v>498</v>
      </c>
    </row>
    <row r="7" spans="1:43" x14ac:dyDescent="0.2">
      <c r="B7" s="1086" t="s">
        <v>500</v>
      </c>
      <c r="C7" s="1087"/>
      <c r="D7" s="1088"/>
      <c r="E7" s="103">
        <f>(SUMPRODUCT(D25:D57,C25:C57)+SUMPRODUCT(J25:J57,I25:I57)+SUMPRODUCT(P25:P57,O25:O57)+SUMPRODUCT(V25:V57,U25:U57)+SUMPRODUCT(AB25:AB57,AA25:AA57)+SUMPRODUCT(AG25:AG57,AH25:AH57))/E4</f>
        <v>37.418629199191507</v>
      </c>
      <c r="F7" s="189" t="s">
        <v>105</v>
      </c>
      <c r="H7" s="1089" t="s">
        <v>501</v>
      </c>
      <c r="I7" s="1090"/>
      <c r="J7" s="1091"/>
      <c r="K7" s="344">
        <f>K5/E6</f>
        <v>23.500446778703747</v>
      </c>
      <c r="L7" s="343" t="s">
        <v>502</v>
      </c>
      <c r="M7" s="1090" t="s">
        <v>503</v>
      </c>
      <c r="N7" s="1090"/>
      <c r="O7" s="1091"/>
      <c r="P7" s="344">
        <f>P5/E6</f>
        <v>30.259430361570985</v>
      </c>
      <c r="Q7" s="343" t="s">
        <v>502</v>
      </c>
      <c r="R7" s="1090" t="s">
        <v>503</v>
      </c>
      <c r="S7" s="1090"/>
      <c r="T7" s="1091"/>
      <c r="U7" s="344">
        <f>U5/E6</f>
        <v>28.713608674390215</v>
      </c>
      <c r="V7" s="343" t="s">
        <v>504</v>
      </c>
    </row>
    <row r="8" spans="1:43" x14ac:dyDescent="0.2">
      <c r="B8" s="1083" t="s">
        <v>505</v>
      </c>
      <c r="C8" s="1084"/>
      <c r="D8" s="1085"/>
      <c r="E8" s="103">
        <f>IF(Input!C9="Pulpwood + Sawlogs",(SUMPRODUCT(D72:D100,C72:C100)+SUMPRODUCT(J72:J100,I72:I100)+SUMPRODUCT(P72:P100,O72:O100)+SUMPRODUCT(V72:V100,U72:U100)+SUMPRODUCT(AB72:AB100,AA72:AA100)+SUMPRODUCT(AG72:AG100,AH72:AH100))/E6,(SUMPRODUCT(D74:D100,C74:C100)+SUMPRODUCT(J74:J100,I74:I100)+SUMPRODUCT(P74:P100,O74:O100)+SUMPRODUCT(V74:V100,U74:U100)+SUMPRODUCT(AB74:AB100,AA74:AA100)+SUMPRODUCT(AG74:AG100,AH74:AH100))/E6)</f>
        <v>76.017340629443964</v>
      </c>
      <c r="F8" s="189" t="s">
        <v>105</v>
      </c>
      <c r="H8" s="1092" t="s">
        <v>506</v>
      </c>
      <c r="I8" s="1093"/>
      <c r="J8" s="1093"/>
      <c r="K8" s="344">
        <f>SUM(F59,L59,R59,X59,AD59,AJ59)/E6</f>
        <v>0.55748130505353277</v>
      </c>
      <c r="L8" s="343" t="s">
        <v>507</v>
      </c>
      <c r="M8" s="1090" t="s">
        <v>508</v>
      </c>
      <c r="N8" s="1090"/>
      <c r="O8" s="1091"/>
      <c r="P8" s="344">
        <f>SUM(F102,L102,R102,X102,AD102,AJ102)/E6</f>
        <v>0.71781897965582253</v>
      </c>
      <c r="Q8" s="343" t="s">
        <v>507</v>
      </c>
      <c r="R8" s="1090" t="s">
        <v>508</v>
      </c>
      <c r="S8" s="1090"/>
      <c r="T8" s="1091"/>
      <c r="U8" s="344">
        <f>SUM(F146,L146,R146,X146,AD146,AJ146)/E6</f>
        <v>0.68114875378035</v>
      </c>
      <c r="V8" s="343" t="s">
        <v>507</v>
      </c>
    </row>
    <row r="9" spans="1:43" ht="16" thickBot="1" x14ac:dyDescent="0.25">
      <c r="B9" s="1086" t="s">
        <v>509</v>
      </c>
      <c r="C9" s="1087"/>
      <c r="D9" s="1088"/>
      <c r="E9" s="103">
        <f>(SUMPRODUCT(B25:B57,C25:C57)+SUMPRODUCT(H25:H57,I25:I57)+SUMPRODUCT(N25:N57,O25:O57)+SUMPRODUCT(T25:T57,U25:U57)+SUMPRODUCT(Z25:Z57,AA25:AA57)+SUMPRODUCT(AF25:AF57,AG25:AG57))/E4</f>
        <v>6.3768371546149325</v>
      </c>
      <c r="F9" s="189" t="s">
        <v>510</v>
      </c>
      <c r="H9" s="1116" t="s">
        <v>511</v>
      </c>
      <c r="I9" s="1117"/>
      <c r="J9" s="1118"/>
      <c r="K9" s="505">
        <f>SUM(D60,J60,P60,V60,AB60,AH60)</f>
        <v>17.939971807286316</v>
      </c>
      <c r="L9" s="506" t="s">
        <v>498</v>
      </c>
      <c r="M9" s="1116" t="s">
        <v>511</v>
      </c>
      <c r="N9" s="1117"/>
      <c r="O9" s="1118"/>
      <c r="P9" s="507">
        <f>SUM(D103,J103,P103,V103,AB103,AH103)</f>
        <v>10.788911520024193</v>
      </c>
      <c r="Q9" s="506" t="s">
        <v>498</v>
      </c>
      <c r="R9" s="1116" t="s">
        <v>511</v>
      </c>
      <c r="S9" s="1117"/>
      <c r="T9" s="1118"/>
      <c r="U9" s="507">
        <f>SUM(D147,J147,P147,V147,AB147,AH147)</f>
        <v>12.424403594070265</v>
      </c>
      <c r="V9" s="506" t="s">
        <v>498</v>
      </c>
    </row>
    <row r="10" spans="1:43" ht="16" thickBot="1" x14ac:dyDescent="0.25">
      <c r="B10" s="1083" t="s">
        <v>512</v>
      </c>
      <c r="C10" s="1084"/>
      <c r="D10" s="1085"/>
      <c r="E10" s="103">
        <f>IF(Input!C9="Pulpwood + Sawlogs",SUM(SUMPRODUCT(B72:B100,C72:C100),SUMPRODUCT(H72:H100,I72:I100),SUMPRODUCT(N72:N100,O72:O100),SUMPRODUCT(T72:T100,U72:U100),SUMPRODUCT(Z72:Z100,AA72:AA100))/E6,SUM(SUMPRODUCT(B74:B100,C74:C100),SUMPRODUCT(H74:H100,I74:I100),SUMPRODUCT(N74:N100,O74:O100),SUMPRODUCT(T74:T100,U74:U100),SUMPRODUCT(Z74:Z100,AA74:AA100))/E6)</f>
        <v>12.52914798206278</v>
      </c>
      <c r="F10" s="189" t="s">
        <v>510</v>
      </c>
    </row>
    <row r="11" spans="1:43" ht="17" x14ac:dyDescent="0.2">
      <c r="B11" s="1086" t="s">
        <v>513</v>
      </c>
      <c r="C11" s="1087"/>
      <c r="D11" s="1088"/>
      <c r="E11" s="105">
        <f>SUM(D59,J59,P59,V59,AB59,F60,L60,R60,X60,AD60,AH59,AJ60)</f>
        <v>1804.3737214742116</v>
      </c>
      <c r="F11" s="189" t="s">
        <v>514</v>
      </c>
      <c r="H11" s="870" t="s">
        <v>665</v>
      </c>
      <c r="I11" s="1038"/>
      <c r="J11" s="1038"/>
      <c r="K11" s="1038"/>
      <c r="L11" s="1038"/>
      <c r="M11" s="1038"/>
      <c r="N11" s="1038"/>
      <c r="O11" s="1038"/>
      <c r="P11" s="1039"/>
    </row>
    <row r="12" spans="1:43" x14ac:dyDescent="0.2">
      <c r="B12" s="1086" t="s">
        <v>515</v>
      </c>
      <c r="C12" s="1087"/>
      <c r="D12" s="1088"/>
      <c r="E12" s="103">
        <f>SUM(D60,J60,P60,V60,AB60,F59,L59,R59,X59,AD59,AH60,AJ59)</f>
        <v>42.803638012673879</v>
      </c>
      <c r="F12" s="189" t="s">
        <v>498</v>
      </c>
      <c r="H12" s="1040"/>
      <c r="I12" s="1041"/>
      <c r="J12" s="1041"/>
      <c r="K12" s="1041"/>
      <c r="L12" s="1041"/>
      <c r="M12" s="1041"/>
      <c r="N12" s="1041"/>
      <c r="O12" s="1041"/>
      <c r="P12" s="1042"/>
    </row>
    <row r="13" spans="1:43" x14ac:dyDescent="0.2">
      <c r="B13" s="1086" t="s">
        <v>516</v>
      </c>
      <c r="C13" s="1087"/>
      <c r="D13" s="1088"/>
      <c r="E13" s="103">
        <f>E11/E4</f>
        <v>10.607723230301069</v>
      </c>
      <c r="F13" s="189" t="s">
        <v>502</v>
      </c>
      <c r="H13" s="1040"/>
      <c r="I13" s="1041"/>
      <c r="J13" s="1041"/>
      <c r="K13" s="1041"/>
      <c r="L13" s="1041"/>
      <c r="M13" s="1041"/>
      <c r="N13" s="1041"/>
      <c r="O13" s="1041"/>
      <c r="P13" s="1042"/>
      <c r="AQ13" t="s">
        <v>517</v>
      </c>
    </row>
    <row r="14" spans="1:43" x14ac:dyDescent="0.2">
      <c r="B14" s="1086" t="s">
        <v>518</v>
      </c>
      <c r="C14" s="1087"/>
      <c r="D14" s="1088"/>
      <c r="E14" s="103">
        <f>E12/E4</f>
        <v>0.25163808355481415</v>
      </c>
      <c r="F14" s="189" t="s">
        <v>507</v>
      </c>
      <c r="H14" s="1040"/>
      <c r="I14" s="1041"/>
      <c r="J14" s="1041"/>
      <c r="K14" s="1041"/>
      <c r="L14" s="1041"/>
      <c r="M14" s="1041"/>
      <c r="N14" s="1041"/>
      <c r="O14" s="1041"/>
      <c r="P14" s="1042"/>
      <c r="U14" s="4"/>
      <c r="V14" s="4"/>
      <c r="W14" s="4"/>
      <c r="X14" s="4"/>
    </row>
    <row r="15" spans="1:43" ht="16" thickBot="1" x14ac:dyDescent="0.25">
      <c r="B15" s="1096" t="s">
        <v>519</v>
      </c>
      <c r="C15" s="1097"/>
      <c r="D15" s="1097"/>
      <c r="E15" s="389">
        <f>E11/E12</f>
        <v>42.154681360027112</v>
      </c>
      <c r="F15" s="390"/>
      <c r="H15" s="1040"/>
      <c r="I15" s="1041"/>
      <c r="J15" s="1041"/>
      <c r="K15" s="1041"/>
      <c r="L15" s="1041"/>
      <c r="M15" s="1041"/>
      <c r="N15" s="1041"/>
      <c r="O15" s="1041"/>
      <c r="P15" s="1042"/>
    </row>
    <row r="16" spans="1:43" x14ac:dyDescent="0.2">
      <c r="H16" s="1040"/>
      <c r="I16" s="1041"/>
      <c r="J16" s="1041"/>
      <c r="K16" s="1041"/>
      <c r="L16" s="1041"/>
      <c r="M16" s="1041"/>
      <c r="N16" s="1041"/>
      <c r="O16" s="1041"/>
      <c r="P16" s="1042"/>
    </row>
    <row r="17" spans="2:37" ht="16" thickBot="1" x14ac:dyDescent="0.25">
      <c r="H17" s="1043"/>
      <c r="I17" s="1044"/>
      <c r="J17" s="1044"/>
      <c r="K17" s="1044"/>
      <c r="L17" s="1044"/>
      <c r="M17" s="1044"/>
      <c r="N17" s="1044"/>
      <c r="O17" s="1044"/>
      <c r="P17" s="1045"/>
    </row>
    <row r="18" spans="2:37" ht="16" thickBot="1" x14ac:dyDescent="0.25">
      <c r="B18"/>
      <c r="M18" s="15"/>
      <c r="N18" s="15"/>
      <c r="O18" s="15"/>
      <c r="P18" s="125"/>
      <c r="R18" s="15"/>
      <c r="S18" s="15"/>
      <c r="T18" s="15"/>
      <c r="U18" s="125"/>
    </row>
    <row r="19" spans="2:37" ht="38" thickBot="1" x14ac:dyDescent="0.25">
      <c r="B19" s="1065" t="s">
        <v>520</v>
      </c>
      <c r="C19" s="1066"/>
      <c r="D19" s="1066"/>
      <c r="E19" s="1066"/>
      <c r="F19" s="1066"/>
      <c r="G19" s="1066"/>
      <c r="H19" s="1066"/>
      <c r="I19" s="1066"/>
      <c r="J19" s="1066"/>
      <c r="K19" s="1066"/>
      <c r="L19" s="1066"/>
      <c r="M19" s="1066"/>
      <c r="N19" s="1066"/>
      <c r="O19" s="1066"/>
      <c r="P19" s="1066"/>
      <c r="Q19" s="1066"/>
      <c r="R19" s="1066"/>
      <c r="S19" s="1066"/>
      <c r="T19" s="1066"/>
      <c r="U19" s="1066"/>
      <c r="V19" s="1066"/>
      <c r="W19" s="1066"/>
      <c r="X19" s="1066"/>
      <c r="Y19" s="1066"/>
      <c r="Z19" s="1066"/>
      <c r="AA19" s="1066"/>
      <c r="AB19" s="1066"/>
      <c r="AC19" s="1066"/>
      <c r="AD19" s="1066"/>
      <c r="AE19" s="1066"/>
      <c r="AF19" s="1066"/>
      <c r="AG19" s="1066"/>
      <c r="AH19" s="1066"/>
      <c r="AI19" s="1066"/>
      <c r="AJ19" s="1066"/>
      <c r="AK19" s="1067"/>
    </row>
    <row r="20" spans="2:37" ht="16" thickBot="1" x14ac:dyDescent="0.25">
      <c r="B20" s="187"/>
      <c r="C20" s="187"/>
      <c r="D20" s="187"/>
      <c r="E20" s="188"/>
    </row>
    <row r="21" spans="2:37" ht="25" thickBot="1" x14ac:dyDescent="0.25">
      <c r="B21" s="1068" t="s">
        <v>679</v>
      </c>
      <c r="C21" s="1069"/>
      <c r="D21" s="1069"/>
      <c r="E21" s="1069"/>
      <c r="F21" s="1069"/>
      <c r="G21" s="1069"/>
      <c r="H21" s="1069"/>
      <c r="I21" s="1069"/>
      <c r="J21" s="1069"/>
      <c r="K21" s="1069"/>
      <c r="L21" s="1069"/>
      <c r="M21" s="1069"/>
      <c r="N21" s="1069"/>
      <c r="O21" s="1069"/>
      <c r="P21" s="1069"/>
      <c r="Q21" s="1069"/>
      <c r="R21" s="1069"/>
      <c r="S21" s="1069"/>
      <c r="T21" s="1069"/>
      <c r="U21" s="1069"/>
      <c r="V21" s="1069"/>
      <c r="W21" s="1069"/>
      <c r="X21" s="1069"/>
      <c r="Y21" s="1069"/>
      <c r="Z21" s="1069"/>
      <c r="AA21" s="1069"/>
      <c r="AB21" s="1069"/>
      <c r="AC21" s="1069"/>
      <c r="AD21" s="1069"/>
      <c r="AE21" s="1069"/>
      <c r="AF21" s="1069"/>
      <c r="AG21" s="1069"/>
      <c r="AH21" s="1069"/>
      <c r="AI21" s="1069"/>
      <c r="AJ21" s="1069"/>
      <c r="AK21" s="1070"/>
    </row>
    <row r="22" spans="2:37" x14ac:dyDescent="0.2">
      <c r="B22" s="1071" t="s">
        <v>521</v>
      </c>
      <c r="C22" s="1072"/>
      <c r="D22" s="1072"/>
      <c r="E22" s="1072"/>
      <c r="F22" s="1072"/>
      <c r="G22" s="1073"/>
      <c r="H22" s="1080" t="s">
        <v>90</v>
      </c>
      <c r="I22" s="1080"/>
      <c r="J22" s="1080"/>
      <c r="K22" s="1080"/>
      <c r="L22" s="1080"/>
      <c r="M22" s="1080"/>
      <c r="N22" s="1077" t="s">
        <v>522</v>
      </c>
      <c r="O22" s="1078"/>
      <c r="P22" s="1078"/>
      <c r="Q22" s="1078"/>
      <c r="R22" s="1078"/>
      <c r="S22" s="1079"/>
      <c r="T22" s="1076" t="s">
        <v>92</v>
      </c>
      <c r="U22" s="1076"/>
      <c r="V22" s="1076"/>
      <c r="W22" s="1076"/>
      <c r="X22" s="1076"/>
      <c r="Y22" s="1076"/>
      <c r="Z22" s="1074" t="s">
        <v>93</v>
      </c>
      <c r="AA22" s="1075"/>
      <c r="AB22" s="1075"/>
      <c r="AC22" s="1075"/>
      <c r="AD22" s="1075"/>
      <c r="AE22" s="1075"/>
      <c r="AF22" s="1062" t="s">
        <v>523</v>
      </c>
      <c r="AG22" s="1063"/>
      <c r="AH22" s="1063"/>
      <c r="AI22" s="1063"/>
      <c r="AJ22" s="1063"/>
      <c r="AK22" s="1064"/>
    </row>
    <row r="23" spans="2:37" x14ac:dyDescent="0.2">
      <c r="B23" s="16" t="s">
        <v>287</v>
      </c>
      <c r="C23" s="66" t="s">
        <v>670</v>
      </c>
      <c r="D23" s="66" t="s">
        <v>671</v>
      </c>
      <c r="E23" s="66" t="s">
        <v>672</v>
      </c>
      <c r="F23" s="66" t="s">
        <v>672</v>
      </c>
      <c r="G23" s="67" t="s">
        <v>673</v>
      </c>
      <c r="H23" s="134" t="s">
        <v>287</v>
      </c>
      <c r="I23" s="134" t="s">
        <v>524</v>
      </c>
      <c r="J23" s="134" t="s">
        <v>525</v>
      </c>
      <c r="K23" s="134" t="s">
        <v>527</v>
      </c>
      <c r="L23" s="134" t="s">
        <v>527</v>
      </c>
      <c r="M23" s="134" t="s">
        <v>120</v>
      </c>
      <c r="N23" s="19" t="s">
        <v>287</v>
      </c>
      <c r="O23" s="213" t="s">
        <v>524</v>
      </c>
      <c r="P23" s="213" t="s">
        <v>525</v>
      </c>
      <c r="Q23" s="213" t="s">
        <v>526</v>
      </c>
      <c r="R23" s="213" t="s">
        <v>527</v>
      </c>
      <c r="S23" s="68" t="s">
        <v>120</v>
      </c>
      <c r="T23" s="69" t="s">
        <v>287</v>
      </c>
      <c r="U23" s="69" t="s">
        <v>524</v>
      </c>
      <c r="V23" s="69" t="s">
        <v>525</v>
      </c>
      <c r="W23" s="69" t="s">
        <v>526</v>
      </c>
      <c r="X23" s="69" t="s">
        <v>527</v>
      </c>
      <c r="Y23" s="69" t="s">
        <v>120</v>
      </c>
      <c r="Z23" s="24" t="s">
        <v>287</v>
      </c>
      <c r="AA23" s="71" t="s">
        <v>524</v>
      </c>
      <c r="AB23" s="71" t="s">
        <v>525</v>
      </c>
      <c r="AC23" s="71" t="s">
        <v>526</v>
      </c>
      <c r="AD23" s="71" t="s">
        <v>527</v>
      </c>
      <c r="AE23" s="71" t="s">
        <v>120</v>
      </c>
      <c r="AF23" s="546" t="s">
        <v>287</v>
      </c>
      <c r="AG23" s="547" t="s">
        <v>524</v>
      </c>
      <c r="AH23" s="547" t="s">
        <v>525</v>
      </c>
      <c r="AI23" s="547" t="s">
        <v>526</v>
      </c>
      <c r="AJ23" s="547" t="s">
        <v>527</v>
      </c>
      <c r="AK23" s="548" t="s">
        <v>120</v>
      </c>
    </row>
    <row r="24" spans="2:37" x14ac:dyDescent="0.2">
      <c r="B24" s="18" t="s">
        <v>669</v>
      </c>
      <c r="C24" s="60" t="s">
        <v>668</v>
      </c>
      <c r="D24" s="60" t="s">
        <v>667</v>
      </c>
      <c r="E24" s="60" t="s">
        <v>531</v>
      </c>
      <c r="F24" s="60" t="s">
        <v>124</v>
      </c>
      <c r="G24" s="61" t="s">
        <v>666</v>
      </c>
      <c r="H24" s="137" t="s">
        <v>528</v>
      </c>
      <c r="I24" s="137" t="s">
        <v>529</v>
      </c>
      <c r="J24" s="137" t="s">
        <v>530</v>
      </c>
      <c r="K24" s="137" t="s">
        <v>531</v>
      </c>
      <c r="L24" s="137" t="s">
        <v>124</v>
      </c>
      <c r="M24" s="137" t="s">
        <v>532</v>
      </c>
      <c r="N24" s="21" t="s">
        <v>528</v>
      </c>
      <c r="O24" s="131" t="s">
        <v>529</v>
      </c>
      <c r="P24" s="131" t="s">
        <v>530</v>
      </c>
      <c r="Q24" s="131" t="s">
        <v>531</v>
      </c>
      <c r="R24" s="131" t="s">
        <v>124</v>
      </c>
      <c r="S24" s="62" t="s">
        <v>532</v>
      </c>
      <c r="T24" s="63" t="s">
        <v>528</v>
      </c>
      <c r="U24" s="63" t="s">
        <v>529</v>
      </c>
      <c r="V24" s="63" t="s">
        <v>530</v>
      </c>
      <c r="W24" s="63" t="s">
        <v>531</v>
      </c>
      <c r="X24" s="63" t="s">
        <v>124</v>
      </c>
      <c r="Y24" s="63" t="s">
        <v>532</v>
      </c>
      <c r="Z24" s="25" t="s">
        <v>528</v>
      </c>
      <c r="AA24" s="65" t="s">
        <v>529</v>
      </c>
      <c r="AB24" s="65" t="s">
        <v>530</v>
      </c>
      <c r="AC24" s="65" t="s">
        <v>531</v>
      </c>
      <c r="AD24" s="65" t="s">
        <v>124</v>
      </c>
      <c r="AE24" s="65" t="s">
        <v>532</v>
      </c>
      <c r="AF24" s="549" t="s">
        <v>528</v>
      </c>
      <c r="AG24" s="550" t="s">
        <v>529</v>
      </c>
      <c r="AH24" s="550" t="s">
        <v>530</v>
      </c>
      <c r="AI24" s="550" t="s">
        <v>531</v>
      </c>
      <c r="AJ24" s="550" t="s">
        <v>124</v>
      </c>
      <c r="AK24" s="551" t="s">
        <v>532</v>
      </c>
    </row>
    <row r="25" spans="2:37" x14ac:dyDescent="0.2">
      <c r="B25" s="16">
        <v>3</v>
      </c>
      <c r="C25" s="73">
        <f t="shared" ref="C25:C57" si="0">C68</f>
        <v>75.7</v>
      </c>
      <c r="D25" s="98">
        <f>3.281*(1.3+EXP(4.5503-11.4582*(B25*2.54)^-0.5994))</f>
        <v>14.712327270809485</v>
      </c>
      <c r="E25" s="106"/>
      <c r="F25" s="106"/>
      <c r="G25" s="155">
        <f>C25*((EXP(-4.2612+2.0967*LN(B25*2.54))/((100-50)/100)/1000)+(EXP(-5.3855+2.7185*LN(B25*2.54))/((100-50)/100)/1000)+(EXP(-2.5766+1.444*LN(B25*2.54))/((100-50)/100)/1000)+(EXP(-4.2063+2.2312*LN(B25*2.54))/((100-50)/100)/1000)+(EXP(-4.4907+2.7587*LN(B25*2.54))/((100-50)/100)/1000))</f>
        <v>1.2099549966230643</v>
      </c>
      <c r="H25" s="140">
        <v>3</v>
      </c>
      <c r="I25" s="147">
        <f t="shared" ref="I25:I57" si="1">I68</f>
        <v>0</v>
      </c>
      <c r="J25" s="146">
        <f>3.281*(1.3+EXP(5.7567-6.7792*(H25*2.54)^-0.2795))</f>
        <v>26.503992422438134</v>
      </c>
      <c r="K25" s="148"/>
      <c r="L25" s="147"/>
      <c r="M25" s="158">
        <f>I25*((EXP(-2.8462+1.7009*LN(H25*2.54))/((100-50)/100)/1000)+(EXP(-3.6941+2.1382*LN(H25*2.54))/((100-50)/100)/1000)+(EXP(-3.529+1.7503*LN(H25*2.54))/((100-50)/100)/1000)+(EXP(-4.3103+2.43*LN(H25*2.54))/((100-50)/100)/1000)+(EXP(-3.0396+2.5951*LN(H25*2.54))/((100-50)/100)/1000))</f>
        <v>0</v>
      </c>
      <c r="N25" s="74">
        <v>3</v>
      </c>
      <c r="O25" s="75">
        <f t="shared" ref="O25:O57" si="2">O68</f>
        <v>0</v>
      </c>
      <c r="P25" s="99">
        <f>3.281*(1.3+EXP(14.7373-15.4469*(N25*2.54)^-0.0728))</f>
        <v>17.748390122389033</v>
      </c>
      <c r="Q25" s="116"/>
      <c r="R25" s="75"/>
      <c r="S25" s="76">
        <f>O25*((EXP(-2.617+1.7824*LN(N25*2.54))/((100-50)/100)/1000)+(EXP(-3.2661+2.0877*LN(N25*2.54))/((100-50)/100)/1000)+(EXP(-4.1934+2.1101*LN(N25*2.54))/((100-50)/100)/1000)+(EXP(-2.0927+2.1863*LN(N25*2.54))/((100-50)/100)/1000))</f>
        <v>0</v>
      </c>
      <c r="T25" s="78">
        <v>3</v>
      </c>
      <c r="U25" s="78">
        <f t="shared" ref="U25:U57" si="3">U68</f>
        <v>0</v>
      </c>
      <c r="V25" s="100">
        <f>3.281*(1.3+EXP(5.3528-7.3394*(T25*2.54)^-0.3505))</f>
        <v>23.162573642669084</v>
      </c>
      <c r="W25" s="117"/>
      <c r="X25" s="78"/>
      <c r="Y25" s="78">
        <f>U25*((EXP(-3.4662+1.9278*LN(T25*2.54))/((100-50)/100)/1000)+(EXP(-4.8287+2.5585*LN(T25*2.54))/((100-50)/100)/1000)+(EXP(-6.1918+2.8796*LN(T25*2.54))/((100-50)/100)/1000)+(EXP(-3.7389+2.6825*LN(T25*2.54))/((100-50)/100)/1000))</f>
        <v>0</v>
      </c>
      <c r="Z25" s="79">
        <v>3</v>
      </c>
      <c r="AA25" s="80">
        <f t="shared" ref="AA25:AA57" si="4">AA68</f>
        <v>0</v>
      </c>
      <c r="AB25" s="101">
        <f>3.281*(1.3+EXP(4.893-7.9038*(Z25*2.54)^-0.4113))</f>
        <v>18.458697076655262</v>
      </c>
      <c r="AC25" s="118"/>
      <c r="AD25" s="80"/>
      <c r="AE25" s="426">
        <f>AA25*((EXP(-4.023+2.0327*LN(Z25*2.54))/((100-50)/100)/1000)+(EXP(-7.637+3.3648*LN(Z25*2.54))/((100-50)/100)/1000)+(EXP(-5.295+2.6184*LN(Z25*2.54))/((100-50)/100)/1000)+(EXP(-3.984+2.6667*LN(Z25*2.54))/((100-50)/100)/1000))</f>
        <v>0</v>
      </c>
      <c r="AF25" s="552">
        <v>3</v>
      </c>
      <c r="AG25" s="553">
        <f t="shared" ref="AG25:AG57" si="5">AG68</f>
        <v>0</v>
      </c>
      <c r="AH25" s="567">
        <f>3.281*(1.37+50.2*(1-EXP(-0.0118*(AF25*2.54)^1.1535)))</f>
        <v>23.529100953554984</v>
      </c>
      <c r="AI25" s="568">
        <f>(0.00716*(AF25*2.54)^2.02253*(AH25/3.281)^1.30938)/0.72/35.315</f>
        <v>0.22579070344005078</v>
      </c>
      <c r="AJ25" s="567"/>
      <c r="AK25" s="555">
        <f>((0.03088*(AF25*2.54)^1.10021*(AH25/3.281)^1.09925)+(0.01613*(AF25*2.54)^1.90578*(AH25/3.281)^0.70112)+(0.03886*(AF25*2.54)^1.53515*(AH25/3.281)^0.31776))/907.2*AG25</f>
        <v>0</v>
      </c>
    </row>
    <row r="26" spans="2:37" x14ac:dyDescent="0.2">
      <c r="B26" s="16">
        <v>4</v>
      </c>
      <c r="C26" s="73">
        <f t="shared" si="0"/>
        <v>0</v>
      </c>
      <c r="D26" s="98">
        <f>3.281*(1.3+EXP(4.5503-11.4582*(B26*2.54)^-0.5994))</f>
        <v>22.143669572433836</v>
      </c>
      <c r="E26" s="106"/>
      <c r="F26" s="106"/>
      <c r="G26" s="155">
        <f>C26*((EXP(-4.2612+2.0967*LN(B26*2.54))/((100-50)/100)/1000)+(EXP(-5.3855+2.7185*LN(B26*2.54))/((100-50)/100)/1000)+(EXP(-2.5766+1.444*LN(B26*2.54))/((100-50)/100)/1000)+(EXP(-4.2063+2.2312*LN(B26*2.54))/((100-50)/100)/1000)+(EXP(-4.4907+2.7587*LN(B26*2.54))/((100-50)/100)/1000))</f>
        <v>0</v>
      </c>
      <c r="H26" s="140">
        <v>4</v>
      </c>
      <c r="I26" s="140">
        <f t="shared" si="1"/>
        <v>0</v>
      </c>
      <c r="J26" s="146">
        <f>3.281*(1.3+EXP(5.7567-6.7792*(H26*2.54)^-0.2795))</f>
        <v>34.191750702403688</v>
      </c>
      <c r="K26" s="149"/>
      <c r="L26" s="140"/>
      <c r="M26" s="158">
        <f>I26*((EXP(-2.8462+1.7009*LN(H26*2.54))/((100-50)/100)/1000)+(EXP(-3.6941+2.1382*LN(H26*2.54))/((100-50)/100)/1000)+(EXP(-3.529+1.7503*LN(H26*2.54))/((100-50)/100)/1000)+(EXP(-4.3103+2.43*LN(H26*2.54))/((100-50)/100)/1000)+(EXP(-3.0396+2.5951*LN(H26*2.54))/((100-50)/100)/1000))</f>
        <v>0</v>
      </c>
      <c r="N26" s="74">
        <v>4</v>
      </c>
      <c r="O26" s="75">
        <f t="shared" si="2"/>
        <v>0</v>
      </c>
      <c r="P26" s="99">
        <f>3.281*(1.3+EXP(14.7373-15.4469*(N26*2.54)^-0.0728))</f>
        <v>22.03656272765819</v>
      </c>
      <c r="Q26" s="116"/>
      <c r="R26" s="75"/>
      <c r="S26" s="76">
        <f>O26*((EXP(-2.617+1.7824*LN(N26*2.54))/((100-50)/100)/1000)+(EXP(-3.2661+2.0877*LN(N26*2.54))/((100-50)/100)/1000)+(EXP(-4.1934+2.1101*LN(N26*2.54))/((100-50)/100)/1000)+(EXP(-2.0927+2.1863*LN(N26*2.54))/((100-50)/100)/1000))</f>
        <v>0</v>
      </c>
      <c r="T26" s="78">
        <v>4</v>
      </c>
      <c r="U26" s="78">
        <f t="shared" si="3"/>
        <v>0</v>
      </c>
      <c r="V26" s="100">
        <f>3.281*(1.3+EXP(5.3528-7.3394*(T26*2.54)^-0.3505))</f>
        <v>30.960906851702745</v>
      </c>
      <c r="W26" s="117"/>
      <c r="X26" s="78"/>
      <c r="Y26" s="78">
        <f>U26*((EXP(-3.4662+1.9278*LN(T26*2.54))/((100-50)/100)/1000)+(EXP(-4.8287+2.5585*LN(T26*2.54))/((100-50)/100)/1000)+(EXP(-6.1918+2.8796*LN(T26*2.54))/((100-50)/100)/1000)+(EXP(-3.7389+2.6825*LN(T26*2.54))/((100-50)/100)/1000))</f>
        <v>0</v>
      </c>
      <c r="Z26" s="79">
        <v>4</v>
      </c>
      <c r="AA26" s="80">
        <f t="shared" si="4"/>
        <v>0</v>
      </c>
      <c r="AB26" s="101">
        <f>3.281*(1.3+EXP(4.893-7.9038*(Z26*2.54)^-0.4113))</f>
        <v>25.073643171835425</v>
      </c>
      <c r="AC26" s="118"/>
      <c r="AD26" s="80"/>
      <c r="AE26" s="80">
        <f>AA26*((EXP(-4.023+2.0327*LN(Z26*2.54))/((100-50)/100)/1000)+(EXP(-7.637+3.3648*LN(Z26*2.54))/((100-50)/100)/1000)+(EXP(-5.295+2.6184*LN(Z26*2.54))/((100-50)/100)/1000)+(EXP(-3.984+2.6667*LN(Z26*2.54))/((100-50)/100)/1000))</f>
        <v>0</v>
      </c>
      <c r="AF26" s="552">
        <v>4</v>
      </c>
      <c r="AG26" s="553">
        <f t="shared" si="5"/>
        <v>0</v>
      </c>
      <c r="AH26" s="567">
        <f>3.281*(1.37+50.2*(1-EXP(-0.0118*(AF26*2.54)^1.1535)))</f>
        <v>30.401700337024163</v>
      </c>
      <c r="AI26" s="568">
        <f t="shared" ref="AI26:AI28" si="6">(0.00716*(AF26*2.54)^2.02253*(AH26/3.281)^1.30938)/0.72/35.315</f>
        <v>0.56509651200675426</v>
      </c>
      <c r="AJ26" s="567"/>
      <c r="AK26" s="555">
        <f t="shared" ref="AK26:AK57" si="7">((0.03088*(AF26*2.54)^1.10021*(AH26/3.281)^1.09925)+(0.01613*(AF26*2.54)^1.90578*(AH26/3.281)^0.70112)+(0.03886*(AF26*2.54)^1.53515*(AH26/3.281)^0.31776))/907.2*AG26</f>
        <v>0</v>
      </c>
    </row>
    <row r="27" spans="2:37" x14ac:dyDescent="0.2">
      <c r="B27" s="16">
        <v>5</v>
      </c>
      <c r="C27" s="73">
        <f t="shared" si="0"/>
        <v>0</v>
      </c>
      <c r="D27" s="98">
        <f>3.281*(1.3+EXP(4.5503-11.4582*(B27*2.54)^-0.5994))</f>
        <v>29.824575657206786</v>
      </c>
      <c r="E27" s="106"/>
      <c r="F27" s="106"/>
      <c r="G27" s="155">
        <f>C27*((EXP(-4.2612+2.0967*LN(B27*2.54))/((100-50)/100)/1000)+(EXP(-5.3855+2.7185*LN(B27*2.54))/((100-50)/100)/1000)+(EXP(-2.5766+1.444*LN(B27*2.54))/((100-50)/100)/1000)+(EXP(-4.2063+2.2312*LN(B27*2.54))/((100-50)/100)/1000)+(EXP(-4.4907+2.7587*LN(B27*2.54))/((100-50)/100)/1000))</f>
        <v>0</v>
      </c>
      <c r="H27" s="140">
        <v>5</v>
      </c>
      <c r="I27" s="140">
        <f t="shared" si="1"/>
        <v>0</v>
      </c>
      <c r="J27" s="146">
        <f>3.281*(1.3+EXP(5.7567-6.7792*(H27*2.54)^-0.2795))</f>
        <v>41.34808034366398</v>
      </c>
      <c r="K27" s="149"/>
      <c r="L27" s="140"/>
      <c r="M27" s="158">
        <f>I27*((EXP(-2.8462+1.7009*LN(H27*2.54))/((100-50)/100)/1000)+(EXP(-3.6941+2.1382*LN(H27*2.54))/((100-50)/100)/1000)+(EXP(-3.529+1.7503*LN(H27*2.54))/((100-50)/100)/1000)+(EXP(-4.3103+2.43*LN(H27*2.54))/((100-50)/100)/1000)+(EXP(-3.0396+2.5951*LN(H27*2.54))/((100-50)/100)/1000))</f>
        <v>0</v>
      </c>
      <c r="N27" s="74">
        <v>5</v>
      </c>
      <c r="O27" s="75">
        <f t="shared" si="2"/>
        <v>0</v>
      </c>
      <c r="P27" s="99">
        <f>3.281*(1.3+EXP(14.7373-15.4469*(N27*2.54)^-0.0728))</f>
        <v>26.19476081289945</v>
      </c>
      <c r="Q27" s="116"/>
      <c r="R27" s="75"/>
      <c r="S27" s="76">
        <f>O27*((EXP(-2.617+1.7824*LN(N27*2.54))/((100-50)/100)/1000)+(EXP(-3.2661+2.0877*LN(N27*2.54))/((100-50)/100)/1000)+(EXP(-4.1934+2.1101*LN(N27*2.54))/((100-50)/100)/1000)+(EXP(-2.0927+2.1863*LN(N27*2.54))/((100-50)/100)/1000))</f>
        <v>0</v>
      </c>
      <c r="T27" s="78">
        <v>5</v>
      </c>
      <c r="U27" s="78">
        <f t="shared" si="3"/>
        <v>0</v>
      </c>
      <c r="V27" s="100">
        <f>3.281*(1.3+EXP(5.3528-7.3394*(T27*2.54)^-0.3505))</f>
        <v>38.371749119070699</v>
      </c>
      <c r="W27" s="117"/>
      <c r="X27" s="78"/>
      <c r="Y27" s="78">
        <f>U27*((EXP(-3.4662+1.9278*LN(T27*2.54))/((100-50)/100)/1000)+(EXP(-4.8287+2.5585*LN(T27*2.54))/((100-50)/100)/1000)+(EXP(-6.1918+2.8796*LN(T27*2.54))/((100-50)/100)/1000)+(EXP(-3.7389+2.6825*LN(T27*2.54))/((100-50)/100)/1000))</f>
        <v>0</v>
      </c>
      <c r="Z27" s="79">
        <v>5</v>
      </c>
      <c r="AA27" s="80">
        <f t="shared" si="4"/>
        <v>0</v>
      </c>
      <c r="AB27" s="101">
        <f>3.281*(1.3+EXP(4.893-7.9038*(Z27*2.54)^-0.4113))</f>
        <v>31.444431786456917</v>
      </c>
      <c r="AC27" s="118"/>
      <c r="AD27" s="80"/>
      <c r="AE27" s="80">
        <f>AA27*((EXP(-4.023+2.0327*LN(Z27*2.54))/((100-50)/100)/1000)+(EXP(-7.637+3.3648*LN(Z27*2.54))/((100-50)/100)/1000)+(EXP(-5.295+2.6184*LN(Z27*2.54))/((100-50)/100)/1000)+(EXP(-3.984+2.6667*LN(Z27*2.54))/((100-50)/100)/1000))</f>
        <v>0</v>
      </c>
      <c r="AF27" s="552">
        <v>5</v>
      </c>
      <c r="AG27" s="553">
        <f t="shared" si="5"/>
        <v>0</v>
      </c>
      <c r="AH27" s="567">
        <f>3.281*(1.37+50.2*(1-EXP(-0.0118*(AF27*2.54)^1.1535)))</f>
        <v>37.20236686563085</v>
      </c>
      <c r="AI27" s="568">
        <f t="shared" si="6"/>
        <v>1.1559070474009892</v>
      </c>
      <c r="AJ27" s="567"/>
      <c r="AK27" s="555">
        <f t="shared" si="7"/>
        <v>0</v>
      </c>
    </row>
    <row r="28" spans="2:37" x14ac:dyDescent="0.2">
      <c r="B28" s="16">
        <v>6</v>
      </c>
      <c r="C28" s="73">
        <f t="shared" si="0"/>
        <v>49.8</v>
      </c>
      <c r="D28" s="98">
        <f>3.281*(1.3+EXP(4.5503-11.4582*(B28*2.54)^-0.5994))</f>
        <v>37.365708038333231</v>
      </c>
      <c r="E28" s="106"/>
      <c r="F28" s="106"/>
      <c r="G28" s="155">
        <f>C28*((EXP(-4.2612+2.0967*LN(B28*2.54))/((100-50)/100)/1000)+(EXP(-5.3855+2.7185*LN(B28*2.54))/((100-50)/100)/1000)+(EXP(-2.5766+1.444*LN(B28*2.54))/((100-50)/100)/1000)+(EXP(-4.2063+2.2312*LN(B28*2.54))/((100-50)/100)/1000)+(EXP(-4.4907+2.7587*LN(B28*2.54))/((100-50)/100)/1000))</f>
        <v>4.2576240488102783</v>
      </c>
      <c r="H28" s="140">
        <v>6</v>
      </c>
      <c r="I28" s="140">
        <f t="shared" si="1"/>
        <v>0</v>
      </c>
      <c r="J28" s="146">
        <f>3.281*(1.3+EXP(5.7567-6.7792*(H28*2.54)^-0.2795))</f>
        <v>48.023492213128563</v>
      </c>
      <c r="K28" s="149"/>
      <c r="L28" s="140"/>
      <c r="M28" s="158">
        <f>I28*((EXP(-2.8462+1.7009*LN(H28*2.54))/((100-50)/100)/1000)+(EXP(-3.6941+2.1382*LN(H28*2.54))/((100-50)/100)/1000)+(EXP(-3.529+1.7503*LN(H28*2.54))/((100-50)/100)/1000)+(EXP(-4.3103+2.43*LN(H28*2.54))/((100-50)/100)/1000)+(EXP(-3.0396+2.5951*LN(H28*2.54))/((100-50)/100)/1000))</f>
        <v>0</v>
      </c>
      <c r="N28" s="74">
        <v>6</v>
      </c>
      <c r="O28" s="75">
        <f t="shared" si="2"/>
        <v>0</v>
      </c>
      <c r="P28" s="99">
        <f>3.281*(1.3+EXP(14.7373-15.4469*(N28*2.54)^-0.0728))</f>
        <v>30.23937581569994</v>
      </c>
      <c r="Q28" s="116"/>
      <c r="R28" s="75"/>
      <c r="S28" s="76">
        <f>O28*((EXP(-2.617+1.7824*LN(N28*2.54))/((100-50)/100)/1000)+(EXP(-3.2661+2.0877*LN(N28*2.54))/((100-50)/100)/1000)+(EXP(-4.1934+2.1101*LN(N28*2.54))/((100-50)/100)/1000)+(EXP(-2.0927+2.1863*LN(N28*2.54))/((100-50)/100)/1000))</f>
        <v>0</v>
      </c>
      <c r="T28" s="78">
        <v>6</v>
      </c>
      <c r="U28" s="78">
        <f t="shared" si="3"/>
        <v>0</v>
      </c>
      <c r="V28" s="100">
        <f>3.281*(1.3+EXP(5.3528-7.3394*(T28*2.54)^-0.3505))</f>
        <v>45.361269109326905</v>
      </c>
      <c r="W28" s="117"/>
      <c r="X28" s="78"/>
      <c r="Y28" s="78">
        <f>U28*((EXP(-3.4662+1.9278*LN(T28*2.54))/((100-50)/100)/1000)+(EXP(-4.8287+2.5585*LN(T28*2.54))/((100-50)/100)/1000)+(EXP(-6.1918+2.8796*LN(T28*2.54))/((100-50)/100)/1000)+(EXP(-3.7389+2.6825*LN(T28*2.54))/((100-50)/100)/1000))</f>
        <v>0</v>
      </c>
      <c r="Z28" s="79">
        <v>6</v>
      </c>
      <c r="AA28" s="80">
        <f t="shared" si="4"/>
        <v>0</v>
      </c>
      <c r="AB28" s="101">
        <f>3.281*(1.3+EXP(4.893-7.9038*(Z28*2.54)^-0.4113))</f>
        <v>37.486885304582074</v>
      </c>
      <c r="AC28" s="118"/>
      <c r="AD28" s="80"/>
      <c r="AE28" s="80">
        <f>AA28*((EXP(-4.023+2.0327*LN(Z28*2.54))/((100-50)/100)/1000)+(EXP(-7.637+3.3648*LN(Z28*2.54))/((100-50)/100)/1000)+(EXP(-5.295+2.6184*LN(Z28*2.54))/((100-50)/100)/1000)+(EXP(-3.984+2.6667*LN(Z28*2.54))/((100-50)/100)/1000))</f>
        <v>0</v>
      </c>
      <c r="AF28" s="552">
        <v>6</v>
      </c>
      <c r="AG28" s="553">
        <f t="shared" si="5"/>
        <v>0</v>
      </c>
      <c r="AH28" s="567">
        <f>3.281*(1.37+50.2*(1-EXP(-0.0118*(AF28*2.54)^1.1535)))</f>
        <v>43.867525281554876</v>
      </c>
      <c r="AI28" s="568">
        <f t="shared" si="6"/>
        <v>2.073886768672033</v>
      </c>
      <c r="AJ28" s="567"/>
      <c r="AK28" s="555">
        <f t="shared" si="7"/>
        <v>0</v>
      </c>
    </row>
    <row r="29" spans="2:37" x14ac:dyDescent="0.2">
      <c r="B29" s="152">
        <v>7</v>
      </c>
      <c r="C29" s="153">
        <f t="shared" si="0"/>
        <v>0</v>
      </c>
      <c r="D29" s="153">
        <f>IF(Input!C9="Sawlogs only","",IF(C29=0,0,3.281*(1.3+EXP(4.5503-11.4582*(B29*2.54)^-0.5994))))</f>
        <v>0</v>
      </c>
      <c r="E29" s="430">
        <f>IF(Input!C9="Sawlogs only","",IF(C29=0,0,10^(-2.729937+1.909478*LOG(B29)+1.085681*LOG(D29))))</f>
        <v>0</v>
      </c>
      <c r="F29" s="153">
        <f>IF(Input!C9="Sawlogs only","",E29*C29)</f>
        <v>0</v>
      </c>
      <c r="G29" s="416">
        <f>C29*((EXP(-4.2612+2.0967*LN(B29*2.54))/((100-50)/100)/1000)+(EXP(-5.3855+2.7185*LN(B29*2.54))/((100-50)/100)/1000)+(EXP(-2.5766+1.444*LN(B29*2.54))/((100-50)/100)/1000)+(EXP(-4.2063+2.2312*LN(B29*2.54))/((100-50)/100)/1000)+IF(Input!$C$9="Pulp-wood + sawlogs",0,(EXP(-4.4907+2.7587*LN(B29*2.54))/((100-50)/100)/1000)))</f>
        <v>0</v>
      </c>
      <c r="H29" s="147">
        <v>7</v>
      </c>
      <c r="I29" s="147">
        <f t="shared" si="1"/>
        <v>0</v>
      </c>
      <c r="J29" s="147">
        <f>IF(Input!C9="Sawlogs only","",IF(I29=0,0,3.281*(1.3+EXP(5.7567-6.7792*(H29*2.54)^-0.2795))))</f>
        <v>0</v>
      </c>
      <c r="K29" s="148">
        <f>IF(Input!C9="Sawlogs only","",IF(I29=0,0,EXP(-6.5193+1.7131*LN(H29)+1.2274*LN(J29))))</f>
        <v>0</v>
      </c>
      <c r="L29" s="147">
        <f>IF(Input!C9="Sawlogs only","",K29*I29)</f>
        <v>0</v>
      </c>
      <c r="M29" s="418">
        <f>I29*((EXP(-2.8462+1.7009*LN(H29*2.54))/((100-50)/100)/1000)+(EXP(-3.6941+2.1382*LN(H29*2.54))/((100-50)/100)/1000)+(EXP(-3.529+1.7503*LN(H29*2.54))/((100-50)/100)/1000)+(EXP(-4.3103+2.43*LN(H29*2.54))/((100-50)/100)/1000)+IF(Input!$C$9="Pulp-wood + sawlogs",0,(EXP(-3.0396+2.5951*LN(H29*2.54))/((100-50)/100)/1000)))</f>
        <v>0</v>
      </c>
      <c r="N29" s="419">
        <v>7</v>
      </c>
      <c r="O29" s="420">
        <f t="shared" si="2"/>
        <v>0</v>
      </c>
      <c r="P29" s="420">
        <f>IF(Input!C9="Sawlogs only","",IF(O29=0,0,3.281*(1.3+EXP(14.7373-15.4469*(N29*2.54)^-0.0728))))</f>
        <v>0</v>
      </c>
      <c r="Q29" s="431">
        <f>IF(Input!C9="Sawlogs only","",IF(O29=0,0,10^(-2.464614+1.701993*LOG(N29)+1.067038*LOG(P29))))</f>
        <v>0</v>
      </c>
      <c r="R29" s="420">
        <f>IF(Input!C9="Sawlogs only","",Q29*O29)</f>
        <v>0</v>
      </c>
      <c r="S29" s="432">
        <f>O29*((EXP(-2.617+1.7824*LN(N29*2.54))/((100-50)/100)/1000)+(EXP(-3.2661+2.0877*LN(N29*2.54))/((100-50)/100)/1000)+(EXP(-4.1934+2.1101*LN(N29*2.54))/((100-50)/100)/1000)+IF(Input!$C$9="Pulp-wood + sawlogs",0,(EXP(-2.0927+2.1863*LN(N29*2.54))/((100-50)/100)/1000)))</f>
        <v>0</v>
      </c>
      <c r="T29" s="423">
        <v>7</v>
      </c>
      <c r="U29" s="423">
        <f t="shared" si="3"/>
        <v>0</v>
      </c>
      <c r="V29" s="423">
        <f>IF(Input!C9="Sawlogs only","",IF(U29=0,0,3.281*(1.3+EXP(5.3528-7.3394*(T29*2.54)^-0.3505))))</f>
        <v>0</v>
      </c>
      <c r="W29" s="433">
        <f>IF(Input!C9="Sawlogs only","",IF(U29=0,0,10^(-2.575642+1.806775*LOG(T29)+1.094665*LOG(V29))))</f>
        <v>0</v>
      </c>
      <c r="X29" s="423">
        <f>IF(Input!C9="Sawlogs only","",W29*U29)</f>
        <v>0</v>
      </c>
      <c r="Y29" s="423">
        <f>U29*((EXP(-3.4662+1.9278*LN(T29*2.54))/((100-50)/100)/1000)+(EXP(-4.8287+2.5585*LN(T29*2.54))/((100-50)/100)/1000)+(EXP(-6.1918+2.8796*LN(T29*2.54))/((100-50)/100)/1000)+IF(Input!$C$9="Pulp-wood + sawlogs",0,(EXP(-3.7389+2.6825*LN(T29*2.54))/((100-50)/100)/1000)))</f>
        <v>0</v>
      </c>
      <c r="Z29" s="425">
        <v>7</v>
      </c>
      <c r="AA29" s="426">
        <f t="shared" si="4"/>
        <v>0</v>
      </c>
      <c r="AB29" s="426">
        <f>IF(Input!C9="Sawlogs only","",IF(AA29=0,0,3.281*(1.3+EXP(4.893-7.9038*(Z29*2.54)^-0.4113))))</f>
        <v>0</v>
      </c>
      <c r="AC29" s="434">
        <f>IF(Input!C9="Sawlogs only","",IF(AA29=0,0,10^(-2.615591+1.847504*LOG(Z29)+1.085772*LOG(AB29))))</f>
        <v>0</v>
      </c>
      <c r="AD29" s="426">
        <f>IF(Input!$C$9="Sawlogs only","",AC29*AA29)</f>
        <v>0</v>
      </c>
      <c r="AE29" s="426">
        <f>AA29*((EXP(-4.023+2.0327*LN(Z29*2.54))/((100-50)/100)/1000)+(EXP(-7.637+3.3648*LN(Z29*2.54))/((100-50)/100)/1000)+(EXP(-5.295+2.6184*LN(Z29*2.54))/((100-50)/100)/1000)+IF(Input!$C$9="Pulp-wood + sawlogs",0,(EXP(-3.984+2.6667*LN(Z29*2.54))/((100-50)/100)/1000)))</f>
        <v>0</v>
      </c>
      <c r="AF29" s="557">
        <v>7</v>
      </c>
      <c r="AG29" s="558">
        <f t="shared" si="5"/>
        <v>0</v>
      </c>
      <c r="AH29" s="558">
        <f>IF(Input!C9="Sawlogs only","",IF(AG29=0,0,3.281*(1.37+50.2*(1-EXP(-0.0118*(AF29*2.54)^1.1535)))))</f>
        <v>0</v>
      </c>
      <c r="AI29" s="565">
        <f>IF(Input!C9="Sawlogs only","",IF(AG29=0,0,(0.00716*(AF29*2.54)^2.02253*(AH29/3.281)^1.30938)/0.72/35.315))</f>
        <v>0</v>
      </c>
      <c r="AJ29" s="558">
        <f>IF(Input!$C$9="Sawlogs only","",AI29*AG29)</f>
        <v>0</v>
      </c>
      <c r="AK29" s="554">
        <f>((0.03088*(AF29*2.54)^1.10021*((3.281*(1.37+50.2*(1-EXP(-0.0118*(AF29*2.54)^1.1535))))/3.281)^1.09925)+(0.01613*(AF29*2.54)^1.90578*((3.281*(1.37+50.2*(1-EXP(-0.0118*(AF29*2.54)^1.1535))))/3.281)^0.70112)+(0.03886*(AF29*2.54)^1.53515*((3.281*(1.37+50.2*(1-EXP(-0.0118*(AF29*2.54)^1.1535))))/3.281)^0.31776))/907.2*AG29</f>
        <v>0</v>
      </c>
    </row>
    <row r="30" spans="2:37" x14ac:dyDescent="0.2">
      <c r="B30" s="18">
        <v>8</v>
      </c>
      <c r="C30" s="81">
        <f t="shared" si="0"/>
        <v>0</v>
      </c>
      <c r="D30" s="81">
        <f>IF(Input!C9="Sawlogs only","",IF(C30=0,0,3.281*(1.3+EXP(4.5503-11.4582*(B30*2.54)^-0.5994))))</f>
        <v>0</v>
      </c>
      <c r="E30" s="115">
        <f>IF(Input!C9="Sawlogs only","",IF(C30=0,0,10^(-2.729937+1.909478*LOG(B30)+1.085681*LOG(D30))))</f>
        <v>0</v>
      </c>
      <c r="F30" s="81">
        <f>IF(Input!C9="Sawlogs only","",E30*C30)</f>
        <v>0</v>
      </c>
      <c r="G30" s="159">
        <f>C30*((EXP(-4.2612+2.0967*LN(B30*2.54))/((100-50)/100)/1000)+(EXP(-5.3855+2.7185*LN(B30*2.54))/((100-50)/100)/1000)+(EXP(-2.5766+1.444*LN(B30*2.54))/((100-50)/100)/1000)+(EXP(-4.2063+2.2312*LN(B30*2.54))/((100-50)/100)/1000)+IF(Input!$C$9="Pulp-wood + sawlogs",0,(EXP(-4.4907+2.7587*LN(B30*2.54))/((100-50)/100)/1000)))</f>
        <v>0</v>
      </c>
      <c r="H30" s="142">
        <v>8</v>
      </c>
      <c r="I30" s="142">
        <f t="shared" si="1"/>
        <v>0</v>
      </c>
      <c r="J30" s="142">
        <f>IF(Input!C9="Sawlogs only","",IF(I30=0,0,3.281*(1.3+EXP(5.7567-6.7792*(H30*2.54)^-0.2795))))</f>
        <v>0</v>
      </c>
      <c r="K30" s="150">
        <f>IF(Input!C9="Sawlogs only","",IF(I30=0,0,EXP(-6.5193+1.7131*LN(H30)+1.2274*LN(J30))))</f>
        <v>0</v>
      </c>
      <c r="L30" s="142">
        <f>IF(Input!C9="Sawlogs only","",K30*I30)</f>
        <v>0</v>
      </c>
      <c r="M30" s="417">
        <f>I30*((EXP(-2.8462+1.7009*LN(H30*2.54))/((100-50)/100)/1000)+(EXP(-3.6941+2.1382*LN(H30*2.54))/((100-50)/100)/1000)+(EXP(-3.529+1.7503*LN(H30*2.54))/((100-50)/100)/1000)+(EXP(-4.3103+2.43*LN(H30*2.54))/((100-50)/100)/1000)+IF(Input!$C$9="Pulp-wood + sawlogs",0,(EXP(-3.0396+2.5951*LN(H30*2.54))/((100-50)/100)/1000)))</f>
        <v>0</v>
      </c>
      <c r="N30" s="82">
        <v>8</v>
      </c>
      <c r="O30" s="83">
        <f t="shared" si="2"/>
        <v>0</v>
      </c>
      <c r="P30" s="83">
        <f>IF(Input!C9="Sawlogs only","",IF(O30=0,0,3.281*(1.3+EXP(14.7373-15.4469*(N30*2.54)^-0.0728))))</f>
        <v>0</v>
      </c>
      <c r="Q30" s="119">
        <f>IF(Input!C9="Sawlogs only","",IF(O30=0,0,10^(-2.464614+1.701993*LOG(N30)+1.067038*LOG(P30))))</f>
        <v>0</v>
      </c>
      <c r="R30" s="83">
        <f>IF(Input!C9="Sawlogs only","",Q30*O30)</f>
        <v>0</v>
      </c>
      <c r="S30" s="120">
        <f>O30*((EXP(-2.617+1.7824*LN(N30*2.54))/((100-50)/100)/1000)+(EXP(-3.2661+2.0877*LN(N30*2.54))/((100-50)/100)/1000)+(EXP(-4.1934+2.1101*LN(N30*2.54))/((100-50)/100)/1000)+IF(Input!$C$9="Pulp-wood + sawlogs",0,(EXP(-2.0927+2.1863*LN(N30*2.54))/((100-50)/100)/1000)))</f>
        <v>0</v>
      </c>
      <c r="T30" s="85">
        <v>8</v>
      </c>
      <c r="U30" s="85">
        <f t="shared" si="3"/>
        <v>0</v>
      </c>
      <c r="V30" s="85">
        <f>IF(Input!C9="Sawlogs only","",IF(U30=0,0,3.281*(1.3+EXP(5.3528-7.3394*(T30*2.54)^-0.3505))))</f>
        <v>0</v>
      </c>
      <c r="W30" s="121">
        <f>IF(Input!C9="Sawlogs only","",IF(U30=0,0,10^(-2.575642+1.806775*LOG(T30)+1.094665*LOG(V30))))</f>
        <v>0</v>
      </c>
      <c r="X30" s="85">
        <f>IF(Input!$C$9="Sawlogs only","",W30*U30)</f>
        <v>0</v>
      </c>
      <c r="Y30" s="85">
        <f>U30*((EXP(-3.4662+1.9278*LN(T30*2.54))/((100-50)/100)/1000)+(EXP(-4.8287+2.5585*LN(T30*2.54))/((100-50)/100)/1000)+(EXP(-6.1918+2.8796*LN(T30*2.54))/((100-50)/100)/1000)+IF(Input!$C$9="Pulp-wood + sawlogs",0,(EXP(-3.7389+2.6825*LN(T30*2.54))/((100-50)/100)/1000)))</f>
        <v>0</v>
      </c>
      <c r="Z30" s="86">
        <v>8</v>
      </c>
      <c r="AA30" s="87">
        <f t="shared" si="4"/>
        <v>0</v>
      </c>
      <c r="AB30" s="87">
        <f>IF(Input!C9="Sawlogs only","",IF(AA30=0,0,3.281*(1.3+EXP(4.893-7.9038*(Z30*2.54)^-0.4113))))</f>
        <v>0</v>
      </c>
      <c r="AC30" s="122">
        <f>IF(Input!C9="Sawlogs only","",IF(AA30=0,0,10^(-2.615591+1.847504*LOG(Z30)+1.085772*LOG(AB30))))</f>
        <v>0</v>
      </c>
      <c r="AD30" s="87">
        <f>IF(Input!C9="Sawlogs only","",AC30*AA30)</f>
        <v>0</v>
      </c>
      <c r="AE30" s="87">
        <f>AA30*((EXP(-4.023+2.0327*LN(Z30*2.54))/((100-50)/100)/1000)+(EXP(-7.637+3.3648*LN(Z30*2.54))/((100-50)/100)/1000)+(EXP(-5.295+2.6184*LN(Z30*2.54))/((100-50)/100)/1000)+IF(Input!$C$9="Pulp-wood + sawlogs",0,(EXP(-3.984+2.6667*LN(Z30*2.54))/((100-50)/100)/1000)))</f>
        <v>0</v>
      </c>
      <c r="AF30" s="559">
        <v>8</v>
      </c>
      <c r="AG30" s="556">
        <f t="shared" si="5"/>
        <v>0</v>
      </c>
      <c r="AH30" s="556">
        <f>IF(Input!C9="Sawlogs only","",IF(AG30=0,0,3.281*(1.37+50.2*(1-EXP(-0.0118*(AF30*2.54)^1.1535)))))</f>
        <v>0</v>
      </c>
      <c r="AI30" s="566">
        <f>IF(Input!C9="Sawlogs only","",IF(AG30=0,0,(0.00716*(AF30*2.54)^2.02253*(AH30/3.281)^1.30938)/0.72/35.315))</f>
        <v>0</v>
      </c>
      <c r="AJ30" s="556">
        <f>IF(Input!C9="Sawlogs only","",AI30*AG30)</f>
        <v>0</v>
      </c>
      <c r="AK30" s="560">
        <f>((0.03088*(AF30*2.54)^1.10021*((3.281*(1.37+50.2*(1-EXP(-0.0118*(AF30*2.54)^1.1535))))/3.281)^1.09925)+(0.01613*(AF30*2.54)^1.90578*((3.281*(1.37+50.2*(1-EXP(-0.0118*(AF30*2.54)^1.1535))))/3.281)^0.70112)+(0.03886*(AF30*2.54)^1.53515*((3.281*(1.37+50.2*(1-EXP(-0.0118*(AF30*2.54)^1.1535))))/3.281)^0.31776))/907.2*AG30</f>
        <v>0</v>
      </c>
    </row>
    <row r="31" spans="2:37" x14ac:dyDescent="0.2">
      <c r="B31" s="16">
        <v>9</v>
      </c>
      <c r="C31" s="73">
        <f t="shared" si="0"/>
        <v>0</v>
      </c>
      <c r="D31" s="73">
        <f t="shared" ref="D31:D57" si="8">IF(C31=0,0,3.281*(1.3+EXP(4.5503-11.4582*(B31*2.54)^-0.5994)))</f>
        <v>0</v>
      </c>
      <c r="E31" s="106">
        <f t="shared" ref="E31:E57" si="9">IF(C31=0,0,10^(-2.729937+1.909478*LOG(B31)+1.085681*LOG(D31)))</f>
        <v>0</v>
      </c>
      <c r="F31" s="73">
        <f t="shared" ref="F31:F57" si="10">E31*C31</f>
        <v>0</v>
      </c>
      <c r="G31" s="155">
        <f t="shared" ref="G31:G57" si="11">C31*((EXP(-4.2612+2.0967*LN(B31*2.54))/((100-50)/100)/1000)+(EXP(-5.3855+2.7185*LN(B31*2.54))/((100-50)/100)/1000)+(EXP(-2.5766+1.444*LN(B31*2.54))/((100-50)/100)/1000)+(EXP(-4.2063+2.2312*LN(B31*2.54))/((100-50)/100)/1000))</f>
        <v>0</v>
      </c>
      <c r="H31" s="140">
        <v>9</v>
      </c>
      <c r="I31" s="140">
        <f t="shared" si="1"/>
        <v>0</v>
      </c>
      <c r="J31" s="140">
        <f t="shared" ref="J31:J57" si="12">IF(I31=0,0,3.281*(1.3+EXP(5.7567-6.7792*(H31*2.54)^-0.2795)))</f>
        <v>0</v>
      </c>
      <c r="K31" s="149">
        <f>IF(I31=0,0,EXP(-6.5193+1.7131*LN(H31)+1.2274*LN(J31)))</f>
        <v>0</v>
      </c>
      <c r="L31" s="140">
        <f t="shared" ref="L31:L57" si="13">K31*I31</f>
        <v>0</v>
      </c>
      <c r="M31" s="158">
        <f t="shared" ref="M31:M57" si="14">I31*((EXP(-2.8462+1.7009*LN(H31*2.54))/((100-50)/100)/1000)+(EXP(-3.6941+2.1382*LN(H31*2.54))/((100-50)/100)/1000)+(EXP(-3.529+1.7503*LN(H31*2.54))/((100-50)/100)/1000)+(EXP(-4.3103+2.43*LN(H31*2.54))/((100-50)/100)/1000))</f>
        <v>0</v>
      </c>
      <c r="N31" s="74">
        <v>9</v>
      </c>
      <c r="O31" s="75">
        <f t="shared" si="2"/>
        <v>0</v>
      </c>
      <c r="P31" s="75">
        <f t="shared" ref="P31:P57" si="15">IF(O31=0,0,3.281*(1.3+EXP(14.7373-15.4469*(N31*2.54)^-0.0728)))</f>
        <v>0</v>
      </c>
      <c r="Q31" s="116">
        <f t="shared" ref="Q31:Q57" si="16">IF(O31=0,0,10^(-2.464614+1.701993*LOG(N31)+1.067038*LOG(P31)))</f>
        <v>0</v>
      </c>
      <c r="R31" s="75">
        <f t="shared" ref="R31:R57" si="17">Q31*O31</f>
        <v>0</v>
      </c>
      <c r="S31" s="76">
        <f t="shared" ref="S31:S57" si="18">O31*((EXP(-2.617+1.7824*LN(N31*2.54))/((100-50)/100)/1000)+(EXP(-3.2661+2.0877*LN(N31*2.54))/((100-50)/100)/1000)+(EXP(-4.1934+2.1101*LN(N31*2.54))/((100-50)/100)/1000))</f>
        <v>0</v>
      </c>
      <c r="T31" s="78">
        <v>9</v>
      </c>
      <c r="U31" s="78">
        <f t="shared" si="3"/>
        <v>0</v>
      </c>
      <c r="V31" s="78">
        <f t="shared" ref="V31:V57" si="19">IF(U31=0,0,3.281*(1.3+EXP(5.3528-7.3394*(T31*2.54)^-0.3505)))</f>
        <v>0</v>
      </c>
      <c r="W31" s="117">
        <f t="shared" ref="W31:W57" si="20">IF(U31=0,0,10^(-2.575642+1.806775*LOG(T31)+1.094665*LOG(V31)))</f>
        <v>0</v>
      </c>
      <c r="X31" s="78">
        <f t="shared" ref="X31:X57" si="21">W31*U31</f>
        <v>0</v>
      </c>
      <c r="Y31" s="78">
        <f t="shared" ref="Y31:Y57" si="22">U31*((EXP(-3.4662+1.9278*LN(T31*2.54))/((100-50)/100)/1000)+(EXP(-4.8287+2.5585*LN(T31*2.54))/((100-50)/100)/1000)+(EXP(-6.1918+2.8796*LN(T31*2.54))/((100-50)/100)/1000))</f>
        <v>0</v>
      </c>
      <c r="Z31" s="79">
        <v>9</v>
      </c>
      <c r="AA31" s="80">
        <f t="shared" si="4"/>
        <v>0</v>
      </c>
      <c r="AB31" s="80">
        <f t="shared" ref="AB31:AB57" si="23">IF(AA31=0,0,3.281*(1.3+EXP(4.893-7.9038*(Z31*2.54)^-0.4113)))</f>
        <v>0</v>
      </c>
      <c r="AC31" s="118">
        <f t="shared" ref="AC31:AC57" si="24">IF(AA31=0,0,10^(-2.615591+1.847504*LOG(Z31)+1.085772*LOG(AB31)))</f>
        <v>0</v>
      </c>
      <c r="AD31" s="80">
        <f t="shared" ref="AD31:AD57" si="25">AC31*AA31</f>
        <v>0</v>
      </c>
      <c r="AE31" s="80">
        <f t="shared" ref="AE31:AE57" si="26">AA31*((EXP(-4.023+2.0327*LN(Z31*2.54))/((100-50)/100)/1000)+(EXP(-7.637+3.3648*LN(Z31*2.54))/((100-50)/100)/1000)+(EXP(-5.295+2.6184*LN(Z31*2.54))/((100-50)/100)/1000))</f>
        <v>0</v>
      </c>
      <c r="AF31" s="552">
        <v>9</v>
      </c>
      <c r="AG31" s="553">
        <f t="shared" si="5"/>
        <v>0</v>
      </c>
      <c r="AH31" s="553">
        <f>IF(AG31=0,0,3.281*(1.37+50.2*(1-EXP(-0.0118*(AF31*2.54)^1.1535))))</f>
        <v>0</v>
      </c>
      <c r="AI31" s="564">
        <f>IF(AG31=0,0,(0.00716*(AF31*2.54)^2.02253*(AH31/3.281)^1.30938)/0.72/35.315)</f>
        <v>0</v>
      </c>
      <c r="AJ31" s="553">
        <f t="shared" ref="AJ31:AJ57" si="27">AI31*AG31</f>
        <v>0</v>
      </c>
      <c r="AK31" s="555">
        <f t="shared" si="7"/>
        <v>0</v>
      </c>
    </row>
    <row r="32" spans="2:37" x14ac:dyDescent="0.2">
      <c r="B32" s="16">
        <v>10</v>
      </c>
      <c r="C32" s="73">
        <f t="shared" si="0"/>
        <v>26.7</v>
      </c>
      <c r="D32" s="73">
        <f t="shared" si="8"/>
        <v>64.008876534109675</v>
      </c>
      <c r="E32" s="106">
        <f>G18</f>
        <v>0</v>
      </c>
      <c r="F32" s="73">
        <f t="shared" si="10"/>
        <v>0</v>
      </c>
      <c r="G32" s="155">
        <f t="shared" si="11"/>
        <v>3.7957568793649705</v>
      </c>
      <c r="H32" s="140">
        <v>10</v>
      </c>
      <c r="I32" s="140">
        <f t="shared" si="1"/>
        <v>0</v>
      </c>
      <c r="J32" s="140">
        <f t="shared" si="12"/>
        <v>0</v>
      </c>
      <c r="K32" s="149">
        <f t="shared" ref="K32:K57" si="28">IF(I32=0,0,EXP(-6.5193+1.7131*LN(H32)+1.2274*LN(J32)))</f>
        <v>0</v>
      </c>
      <c r="L32" s="140">
        <f t="shared" si="13"/>
        <v>0</v>
      </c>
      <c r="M32" s="158">
        <f t="shared" si="14"/>
        <v>0</v>
      </c>
      <c r="N32" s="74">
        <v>10</v>
      </c>
      <c r="O32" s="75">
        <f t="shared" si="2"/>
        <v>0</v>
      </c>
      <c r="P32" s="75">
        <f t="shared" si="15"/>
        <v>0</v>
      </c>
      <c r="Q32" s="116">
        <f t="shared" si="16"/>
        <v>0</v>
      </c>
      <c r="R32" s="75">
        <f t="shared" si="17"/>
        <v>0</v>
      </c>
      <c r="S32" s="76">
        <f t="shared" si="18"/>
        <v>0</v>
      </c>
      <c r="T32" s="78">
        <v>10</v>
      </c>
      <c r="U32" s="78">
        <f t="shared" si="3"/>
        <v>0</v>
      </c>
      <c r="V32" s="78">
        <f t="shared" si="19"/>
        <v>0</v>
      </c>
      <c r="W32" s="117">
        <f t="shared" si="20"/>
        <v>0</v>
      </c>
      <c r="X32" s="78">
        <f t="shared" si="21"/>
        <v>0</v>
      </c>
      <c r="Y32" s="78">
        <f t="shared" si="22"/>
        <v>0</v>
      </c>
      <c r="Z32" s="79">
        <v>10</v>
      </c>
      <c r="AA32" s="80">
        <f t="shared" si="4"/>
        <v>0</v>
      </c>
      <c r="AB32" s="80">
        <f t="shared" si="23"/>
        <v>0</v>
      </c>
      <c r="AC32" s="118">
        <f t="shared" si="24"/>
        <v>0</v>
      </c>
      <c r="AD32" s="80">
        <f t="shared" si="25"/>
        <v>0</v>
      </c>
      <c r="AE32" s="80">
        <f t="shared" si="26"/>
        <v>0</v>
      </c>
      <c r="AF32" s="552">
        <v>10</v>
      </c>
      <c r="AG32" s="553">
        <f t="shared" si="5"/>
        <v>0</v>
      </c>
      <c r="AH32" s="553">
        <f t="shared" ref="AH32:AH57" si="29">IF(AG32=0,0,3.281*(1.37+50.2*(1-EXP(-0.0118*(AF32*2.54)^1.1535))))</f>
        <v>0</v>
      </c>
      <c r="AI32" s="564">
        <f t="shared" ref="AI32:AI57" si="30">IF(AG32=0,0,(0.00716*(AF32*2.54)^2.02253*(AH32/3.281)^1.30938)/0.72/35.315)</f>
        <v>0</v>
      </c>
      <c r="AJ32" s="553">
        <f t="shared" si="27"/>
        <v>0</v>
      </c>
      <c r="AK32" s="555">
        <f t="shared" si="7"/>
        <v>0</v>
      </c>
    </row>
    <row r="33" spans="2:37" x14ac:dyDescent="0.2">
      <c r="B33" s="16">
        <v>11</v>
      </c>
      <c r="C33" s="73">
        <f t="shared" si="0"/>
        <v>0</v>
      </c>
      <c r="D33" s="73">
        <f t="shared" si="8"/>
        <v>0</v>
      </c>
      <c r="E33" s="106">
        <f t="shared" si="9"/>
        <v>0</v>
      </c>
      <c r="F33" s="73">
        <f t="shared" si="10"/>
        <v>0</v>
      </c>
      <c r="G33" s="155">
        <f t="shared" si="11"/>
        <v>0</v>
      </c>
      <c r="H33" s="140">
        <v>11</v>
      </c>
      <c r="I33" s="140">
        <f t="shared" si="1"/>
        <v>0</v>
      </c>
      <c r="J33" s="140">
        <f t="shared" si="12"/>
        <v>0</v>
      </c>
      <c r="K33" s="149">
        <f t="shared" si="28"/>
        <v>0</v>
      </c>
      <c r="L33" s="140">
        <f t="shared" si="13"/>
        <v>0</v>
      </c>
      <c r="M33" s="158">
        <f t="shared" si="14"/>
        <v>0</v>
      </c>
      <c r="N33" s="74">
        <v>11</v>
      </c>
      <c r="O33" s="75">
        <f t="shared" si="2"/>
        <v>0</v>
      </c>
      <c r="P33" s="75">
        <f t="shared" si="15"/>
        <v>0</v>
      </c>
      <c r="Q33" s="116">
        <f t="shared" si="16"/>
        <v>0</v>
      </c>
      <c r="R33" s="75">
        <f t="shared" si="17"/>
        <v>0</v>
      </c>
      <c r="S33" s="76">
        <f t="shared" si="18"/>
        <v>0</v>
      </c>
      <c r="T33" s="78">
        <v>11</v>
      </c>
      <c r="U33" s="78">
        <f t="shared" si="3"/>
        <v>0</v>
      </c>
      <c r="V33" s="78">
        <f t="shared" si="19"/>
        <v>0</v>
      </c>
      <c r="W33" s="117">
        <f t="shared" si="20"/>
        <v>0</v>
      </c>
      <c r="X33" s="78">
        <f t="shared" si="21"/>
        <v>0</v>
      </c>
      <c r="Y33" s="78">
        <f t="shared" si="22"/>
        <v>0</v>
      </c>
      <c r="Z33" s="79">
        <v>11</v>
      </c>
      <c r="AA33" s="80">
        <f t="shared" si="4"/>
        <v>0</v>
      </c>
      <c r="AB33" s="80">
        <f t="shared" si="23"/>
        <v>0</v>
      </c>
      <c r="AC33" s="118">
        <f t="shared" si="24"/>
        <v>0</v>
      </c>
      <c r="AD33" s="80">
        <f t="shared" si="25"/>
        <v>0</v>
      </c>
      <c r="AE33" s="80">
        <f t="shared" si="26"/>
        <v>0</v>
      </c>
      <c r="AF33" s="552">
        <v>11</v>
      </c>
      <c r="AG33" s="553">
        <f t="shared" si="5"/>
        <v>0</v>
      </c>
      <c r="AH33" s="553">
        <f t="shared" si="29"/>
        <v>0</v>
      </c>
      <c r="AI33" s="564">
        <f t="shared" si="30"/>
        <v>0</v>
      </c>
      <c r="AJ33" s="553">
        <f t="shared" si="27"/>
        <v>0</v>
      </c>
      <c r="AK33" s="555">
        <f t="shared" si="7"/>
        <v>0</v>
      </c>
    </row>
    <row r="34" spans="2:37" x14ac:dyDescent="0.2">
      <c r="B34" s="16">
        <v>12</v>
      </c>
      <c r="C34" s="73">
        <f>C77</f>
        <v>1</v>
      </c>
      <c r="D34" s="73">
        <f t="shared" si="8"/>
        <v>75.125500715380156</v>
      </c>
      <c r="E34" s="106">
        <f t="shared" si="9"/>
        <v>23.293919239463623</v>
      </c>
      <c r="F34" s="73">
        <f t="shared" si="10"/>
        <v>23.293919239463623</v>
      </c>
      <c r="G34" s="155">
        <f t="shared" si="11"/>
        <v>0.21779363585452344</v>
      </c>
      <c r="H34" s="140">
        <v>12</v>
      </c>
      <c r="I34" s="140">
        <f t="shared" si="1"/>
        <v>0</v>
      </c>
      <c r="J34" s="140">
        <f t="shared" si="12"/>
        <v>0</v>
      </c>
      <c r="K34" s="149">
        <f t="shared" si="28"/>
        <v>0</v>
      </c>
      <c r="L34" s="140">
        <f t="shared" si="13"/>
        <v>0</v>
      </c>
      <c r="M34" s="158">
        <f t="shared" si="14"/>
        <v>0</v>
      </c>
      <c r="N34" s="74">
        <v>12</v>
      </c>
      <c r="O34" s="75">
        <f t="shared" si="2"/>
        <v>0</v>
      </c>
      <c r="P34" s="75">
        <f t="shared" si="15"/>
        <v>0</v>
      </c>
      <c r="Q34" s="116">
        <f t="shared" si="16"/>
        <v>0</v>
      </c>
      <c r="R34" s="75">
        <f t="shared" si="17"/>
        <v>0</v>
      </c>
      <c r="S34" s="76">
        <f t="shared" si="18"/>
        <v>0</v>
      </c>
      <c r="T34" s="78">
        <v>12</v>
      </c>
      <c r="U34" s="78">
        <f t="shared" si="3"/>
        <v>0</v>
      </c>
      <c r="V34" s="78">
        <f t="shared" si="19"/>
        <v>0</v>
      </c>
      <c r="W34" s="117">
        <f t="shared" si="20"/>
        <v>0</v>
      </c>
      <c r="X34" s="78">
        <f t="shared" si="21"/>
        <v>0</v>
      </c>
      <c r="Y34" s="78">
        <f t="shared" si="22"/>
        <v>0</v>
      </c>
      <c r="Z34" s="79">
        <v>12</v>
      </c>
      <c r="AA34" s="80">
        <f t="shared" si="4"/>
        <v>0</v>
      </c>
      <c r="AB34" s="80">
        <f t="shared" si="23"/>
        <v>0</v>
      </c>
      <c r="AC34" s="118">
        <f t="shared" si="24"/>
        <v>0</v>
      </c>
      <c r="AD34" s="80">
        <f t="shared" si="25"/>
        <v>0</v>
      </c>
      <c r="AE34" s="80">
        <f t="shared" si="26"/>
        <v>0</v>
      </c>
      <c r="AF34" s="552">
        <v>12</v>
      </c>
      <c r="AG34" s="553">
        <f t="shared" si="5"/>
        <v>0</v>
      </c>
      <c r="AH34" s="553">
        <f t="shared" si="29"/>
        <v>0</v>
      </c>
      <c r="AI34" s="564">
        <f t="shared" si="30"/>
        <v>0</v>
      </c>
      <c r="AJ34" s="553">
        <f t="shared" si="27"/>
        <v>0</v>
      </c>
      <c r="AK34" s="555">
        <f t="shared" si="7"/>
        <v>0</v>
      </c>
    </row>
    <row r="35" spans="2:37" x14ac:dyDescent="0.2">
      <c r="B35" s="16">
        <v>13</v>
      </c>
      <c r="C35" s="73">
        <f t="shared" si="0"/>
        <v>0</v>
      </c>
      <c r="D35" s="73">
        <f t="shared" si="8"/>
        <v>0</v>
      </c>
      <c r="E35" s="106">
        <f t="shared" si="9"/>
        <v>0</v>
      </c>
      <c r="F35" s="73">
        <f t="shared" si="10"/>
        <v>0</v>
      </c>
      <c r="G35" s="155">
        <f t="shared" si="11"/>
        <v>0</v>
      </c>
      <c r="H35" s="140">
        <v>13</v>
      </c>
      <c r="I35" s="140">
        <f t="shared" si="1"/>
        <v>0</v>
      </c>
      <c r="J35" s="140">
        <f t="shared" si="12"/>
        <v>0</v>
      </c>
      <c r="K35" s="149">
        <f t="shared" si="28"/>
        <v>0</v>
      </c>
      <c r="L35" s="140">
        <f t="shared" si="13"/>
        <v>0</v>
      </c>
      <c r="M35" s="158">
        <f t="shared" si="14"/>
        <v>0</v>
      </c>
      <c r="N35" s="74">
        <v>13</v>
      </c>
      <c r="O35" s="75">
        <f t="shared" si="2"/>
        <v>0</v>
      </c>
      <c r="P35" s="75">
        <f t="shared" si="15"/>
        <v>0</v>
      </c>
      <c r="Q35" s="116">
        <f t="shared" si="16"/>
        <v>0</v>
      </c>
      <c r="R35" s="75">
        <f t="shared" si="17"/>
        <v>0</v>
      </c>
      <c r="S35" s="76">
        <f t="shared" si="18"/>
        <v>0</v>
      </c>
      <c r="T35" s="78">
        <v>13</v>
      </c>
      <c r="U35" s="78">
        <f t="shared" si="3"/>
        <v>0</v>
      </c>
      <c r="V35" s="78">
        <f t="shared" si="19"/>
        <v>0</v>
      </c>
      <c r="W35" s="117">
        <f t="shared" si="20"/>
        <v>0</v>
      </c>
      <c r="X35" s="78">
        <f t="shared" si="21"/>
        <v>0</v>
      </c>
      <c r="Y35" s="78">
        <f t="shared" si="22"/>
        <v>0</v>
      </c>
      <c r="Z35" s="79">
        <v>13</v>
      </c>
      <c r="AA35" s="80">
        <f t="shared" si="4"/>
        <v>0</v>
      </c>
      <c r="AB35" s="80">
        <f t="shared" si="23"/>
        <v>0</v>
      </c>
      <c r="AC35" s="118">
        <f t="shared" si="24"/>
        <v>0</v>
      </c>
      <c r="AD35" s="80">
        <f t="shared" si="25"/>
        <v>0</v>
      </c>
      <c r="AE35" s="80">
        <f t="shared" si="26"/>
        <v>0</v>
      </c>
      <c r="AF35" s="552">
        <v>13</v>
      </c>
      <c r="AG35" s="553">
        <f t="shared" si="5"/>
        <v>0</v>
      </c>
      <c r="AH35" s="553">
        <f t="shared" si="29"/>
        <v>0</v>
      </c>
      <c r="AI35" s="564">
        <f t="shared" si="30"/>
        <v>0</v>
      </c>
      <c r="AJ35" s="553">
        <f t="shared" si="27"/>
        <v>0</v>
      </c>
      <c r="AK35" s="555">
        <f t="shared" si="7"/>
        <v>0</v>
      </c>
    </row>
    <row r="36" spans="2:37" x14ac:dyDescent="0.2">
      <c r="B36" s="16">
        <v>14</v>
      </c>
      <c r="C36" s="73">
        <f t="shared" si="0"/>
        <v>9.6999999999999993</v>
      </c>
      <c r="D36" s="73">
        <f t="shared" si="8"/>
        <v>84.996961694719928</v>
      </c>
      <c r="E36" s="106">
        <f t="shared" si="9"/>
        <v>35.750809824420472</v>
      </c>
      <c r="F36" s="73">
        <f t="shared" si="10"/>
        <v>346.78285529687855</v>
      </c>
      <c r="G36" s="155">
        <f t="shared" si="11"/>
        <v>3.0423911023226746</v>
      </c>
      <c r="H36" s="140">
        <v>14</v>
      </c>
      <c r="I36" s="140">
        <f t="shared" si="1"/>
        <v>0</v>
      </c>
      <c r="J36" s="140">
        <f t="shared" si="12"/>
        <v>0</v>
      </c>
      <c r="K36" s="149">
        <f t="shared" si="28"/>
        <v>0</v>
      </c>
      <c r="L36" s="140">
        <f t="shared" si="13"/>
        <v>0</v>
      </c>
      <c r="M36" s="158">
        <f t="shared" si="14"/>
        <v>0</v>
      </c>
      <c r="N36" s="74">
        <v>14</v>
      </c>
      <c r="O36" s="75">
        <f t="shared" si="2"/>
        <v>0</v>
      </c>
      <c r="P36" s="75">
        <f t="shared" si="15"/>
        <v>0</v>
      </c>
      <c r="Q36" s="116">
        <f t="shared" si="16"/>
        <v>0</v>
      </c>
      <c r="R36" s="75">
        <f t="shared" si="17"/>
        <v>0</v>
      </c>
      <c r="S36" s="76">
        <f t="shared" si="18"/>
        <v>0</v>
      </c>
      <c r="T36" s="78">
        <v>14</v>
      </c>
      <c r="U36" s="78">
        <f t="shared" si="3"/>
        <v>0</v>
      </c>
      <c r="V36" s="78">
        <f t="shared" si="19"/>
        <v>0</v>
      </c>
      <c r="W36" s="117">
        <f t="shared" si="20"/>
        <v>0</v>
      </c>
      <c r="X36" s="78">
        <f t="shared" si="21"/>
        <v>0</v>
      </c>
      <c r="Y36" s="78">
        <f t="shared" si="22"/>
        <v>0</v>
      </c>
      <c r="Z36" s="79">
        <v>14</v>
      </c>
      <c r="AA36" s="80">
        <f t="shared" si="4"/>
        <v>0</v>
      </c>
      <c r="AB36" s="80">
        <f t="shared" si="23"/>
        <v>0</v>
      </c>
      <c r="AC36" s="118">
        <f t="shared" si="24"/>
        <v>0</v>
      </c>
      <c r="AD36" s="80">
        <f t="shared" si="25"/>
        <v>0</v>
      </c>
      <c r="AE36" s="80">
        <f t="shared" si="26"/>
        <v>0</v>
      </c>
      <c r="AF36" s="552">
        <v>14</v>
      </c>
      <c r="AG36" s="553">
        <f t="shared" si="5"/>
        <v>0</v>
      </c>
      <c r="AH36" s="553">
        <f t="shared" si="29"/>
        <v>0</v>
      </c>
      <c r="AI36" s="564">
        <f t="shared" si="30"/>
        <v>0</v>
      </c>
      <c r="AJ36" s="553">
        <f t="shared" si="27"/>
        <v>0</v>
      </c>
      <c r="AK36" s="555">
        <f t="shared" si="7"/>
        <v>0</v>
      </c>
    </row>
    <row r="37" spans="2:37" x14ac:dyDescent="0.2">
      <c r="B37" s="16">
        <v>15</v>
      </c>
      <c r="C37" s="73">
        <f t="shared" si="0"/>
        <v>0</v>
      </c>
      <c r="D37" s="73">
        <f t="shared" si="8"/>
        <v>0</v>
      </c>
      <c r="E37" s="106">
        <f t="shared" si="9"/>
        <v>0</v>
      </c>
      <c r="F37" s="73">
        <f t="shared" si="10"/>
        <v>0</v>
      </c>
      <c r="G37" s="155">
        <f t="shared" si="11"/>
        <v>0</v>
      </c>
      <c r="H37" s="140">
        <v>15</v>
      </c>
      <c r="I37" s="140">
        <f t="shared" si="1"/>
        <v>0</v>
      </c>
      <c r="J37" s="140">
        <f t="shared" si="12"/>
        <v>0</v>
      </c>
      <c r="K37" s="149">
        <f t="shared" si="28"/>
        <v>0</v>
      </c>
      <c r="L37" s="140">
        <f t="shared" si="13"/>
        <v>0</v>
      </c>
      <c r="M37" s="158">
        <f t="shared" si="14"/>
        <v>0</v>
      </c>
      <c r="N37" s="74">
        <v>15</v>
      </c>
      <c r="O37" s="75">
        <f t="shared" si="2"/>
        <v>0</v>
      </c>
      <c r="P37" s="75">
        <f t="shared" si="15"/>
        <v>0</v>
      </c>
      <c r="Q37" s="116">
        <f t="shared" si="16"/>
        <v>0</v>
      </c>
      <c r="R37" s="75">
        <f t="shared" si="17"/>
        <v>0</v>
      </c>
      <c r="S37" s="76">
        <f t="shared" si="18"/>
        <v>0</v>
      </c>
      <c r="T37" s="78">
        <v>15</v>
      </c>
      <c r="U37" s="78">
        <f t="shared" si="3"/>
        <v>0</v>
      </c>
      <c r="V37" s="78">
        <f t="shared" si="19"/>
        <v>0</v>
      </c>
      <c r="W37" s="117">
        <f t="shared" si="20"/>
        <v>0</v>
      </c>
      <c r="X37" s="78">
        <f t="shared" si="21"/>
        <v>0</v>
      </c>
      <c r="Y37" s="78">
        <f t="shared" si="22"/>
        <v>0</v>
      </c>
      <c r="Z37" s="79">
        <v>15</v>
      </c>
      <c r="AA37" s="80">
        <f t="shared" si="4"/>
        <v>0</v>
      </c>
      <c r="AB37" s="80">
        <f t="shared" si="23"/>
        <v>0</v>
      </c>
      <c r="AC37" s="118">
        <f t="shared" si="24"/>
        <v>0</v>
      </c>
      <c r="AD37" s="80">
        <f t="shared" si="25"/>
        <v>0</v>
      </c>
      <c r="AE37" s="80">
        <f t="shared" si="26"/>
        <v>0</v>
      </c>
      <c r="AF37" s="552">
        <v>15</v>
      </c>
      <c r="AG37" s="553">
        <f t="shared" si="5"/>
        <v>0</v>
      </c>
      <c r="AH37" s="553">
        <f t="shared" si="29"/>
        <v>0</v>
      </c>
      <c r="AI37" s="564">
        <f t="shared" si="30"/>
        <v>0</v>
      </c>
      <c r="AJ37" s="553">
        <f t="shared" si="27"/>
        <v>0</v>
      </c>
      <c r="AK37" s="555">
        <f t="shared" si="7"/>
        <v>0</v>
      </c>
    </row>
    <row r="38" spans="2:37" x14ac:dyDescent="0.2">
      <c r="B38" s="16">
        <v>16</v>
      </c>
      <c r="C38" s="73">
        <f t="shared" si="0"/>
        <v>0</v>
      </c>
      <c r="D38" s="73">
        <f t="shared" si="8"/>
        <v>0</v>
      </c>
      <c r="E38" s="106">
        <f t="shared" si="9"/>
        <v>0</v>
      </c>
      <c r="F38" s="73">
        <f t="shared" si="10"/>
        <v>0</v>
      </c>
      <c r="G38" s="155">
        <f t="shared" si="11"/>
        <v>0</v>
      </c>
      <c r="H38" s="140">
        <v>16</v>
      </c>
      <c r="I38" s="140">
        <f t="shared" si="1"/>
        <v>0</v>
      </c>
      <c r="J38" s="140">
        <f t="shared" si="12"/>
        <v>0</v>
      </c>
      <c r="K38" s="149">
        <f t="shared" si="28"/>
        <v>0</v>
      </c>
      <c r="L38" s="140">
        <f t="shared" si="13"/>
        <v>0</v>
      </c>
      <c r="M38" s="158">
        <f t="shared" si="14"/>
        <v>0</v>
      </c>
      <c r="N38" s="74">
        <v>16</v>
      </c>
      <c r="O38" s="75">
        <f t="shared" si="2"/>
        <v>0</v>
      </c>
      <c r="P38" s="75">
        <f t="shared" si="15"/>
        <v>0</v>
      </c>
      <c r="Q38" s="116">
        <f t="shared" si="16"/>
        <v>0</v>
      </c>
      <c r="R38" s="75">
        <f t="shared" si="17"/>
        <v>0</v>
      </c>
      <c r="S38" s="76">
        <f t="shared" si="18"/>
        <v>0</v>
      </c>
      <c r="T38" s="78">
        <v>16</v>
      </c>
      <c r="U38" s="78">
        <f t="shared" si="3"/>
        <v>0</v>
      </c>
      <c r="V38" s="78">
        <f t="shared" si="19"/>
        <v>0</v>
      </c>
      <c r="W38" s="117">
        <f t="shared" si="20"/>
        <v>0</v>
      </c>
      <c r="X38" s="78">
        <f t="shared" si="21"/>
        <v>0</v>
      </c>
      <c r="Y38" s="78">
        <f t="shared" si="22"/>
        <v>0</v>
      </c>
      <c r="Z38" s="79">
        <v>16</v>
      </c>
      <c r="AA38" s="80">
        <f t="shared" si="4"/>
        <v>0</v>
      </c>
      <c r="AB38" s="80">
        <f t="shared" si="23"/>
        <v>0</v>
      </c>
      <c r="AC38" s="118">
        <f t="shared" si="24"/>
        <v>0</v>
      </c>
      <c r="AD38" s="80">
        <f t="shared" si="25"/>
        <v>0</v>
      </c>
      <c r="AE38" s="80">
        <f t="shared" si="26"/>
        <v>0</v>
      </c>
      <c r="AF38" s="552">
        <v>16</v>
      </c>
      <c r="AG38" s="553">
        <f t="shared" si="5"/>
        <v>0</v>
      </c>
      <c r="AH38" s="553">
        <f t="shared" si="29"/>
        <v>0</v>
      </c>
      <c r="AI38" s="564">
        <f t="shared" si="30"/>
        <v>0</v>
      </c>
      <c r="AJ38" s="553">
        <f t="shared" si="27"/>
        <v>0</v>
      </c>
      <c r="AK38" s="555">
        <f t="shared" si="7"/>
        <v>0</v>
      </c>
    </row>
    <row r="39" spans="2:37" x14ac:dyDescent="0.2">
      <c r="B39" s="16">
        <v>17</v>
      </c>
      <c r="C39" s="73">
        <f t="shared" si="0"/>
        <v>0</v>
      </c>
      <c r="D39" s="73">
        <f t="shared" si="8"/>
        <v>0</v>
      </c>
      <c r="E39" s="106">
        <f t="shared" si="9"/>
        <v>0</v>
      </c>
      <c r="F39" s="73">
        <f t="shared" si="10"/>
        <v>0</v>
      </c>
      <c r="G39" s="155">
        <f t="shared" si="11"/>
        <v>0</v>
      </c>
      <c r="H39" s="140">
        <v>17</v>
      </c>
      <c r="I39" s="140">
        <f t="shared" si="1"/>
        <v>0</v>
      </c>
      <c r="J39" s="140">
        <f t="shared" si="12"/>
        <v>0</v>
      </c>
      <c r="K39" s="149">
        <f t="shared" si="28"/>
        <v>0</v>
      </c>
      <c r="L39" s="140">
        <f t="shared" si="13"/>
        <v>0</v>
      </c>
      <c r="M39" s="158">
        <f t="shared" si="14"/>
        <v>0</v>
      </c>
      <c r="N39" s="74">
        <v>17</v>
      </c>
      <c r="O39" s="75">
        <f t="shared" si="2"/>
        <v>0</v>
      </c>
      <c r="P39" s="75">
        <f t="shared" si="15"/>
        <v>0</v>
      </c>
      <c r="Q39" s="116">
        <f t="shared" si="16"/>
        <v>0</v>
      </c>
      <c r="R39" s="75">
        <f t="shared" si="17"/>
        <v>0</v>
      </c>
      <c r="S39" s="76">
        <f t="shared" si="18"/>
        <v>0</v>
      </c>
      <c r="T39" s="78">
        <v>17</v>
      </c>
      <c r="U39" s="78">
        <f t="shared" si="3"/>
        <v>0</v>
      </c>
      <c r="V39" s="78">
        <f t="shared" si="19"/>
        <v>0</v>
      </c>
      <c r="W39" s="117">
        <f t="shared" si="20"/>
        <v>0</v>
      </c>
      <c r="X39" s="78">
        <f t="shared" si="21"/>
        <v>0</v>
      </c>
      <c r="Y39" s="78">
        <f t="shared" si="22"/>
        <v>0</v>
      </c>
      <c r="Z39" s="79">
        <v>17</v>
      </c>
      <c r="AA39" s="80">
        <f t="shared" si="4"/>
        <v>0</v>
      </c>
      <c r="AB39" s="80">
        <f t="shared" si="23"/>
        <v>0</v>
      </c>
      <c r="AC39" s="118">
        <f t="shared" si="24"/>
        <v>0</v>
      </c>
      <c r="AD39" s="80">
        <f t="shared" si="25"/>
        <v>0</v>
      </c>
      <c r="AE39" s="80">
        <f t="shared" si="26"/>
        <v>0</v>
      </c>
      <c r="AF39" s="552">
        <v>17</v>
      </c>
      <c r="AG39" s="553">
        <f t="shared" si="5"/>
        <v>0</v>
      </c>
      <c r="AH39" s="553">
        <f t="shared" si="29"/>
        <v>0</v>
      </c>
      <c r="AI39" s="564">
        <f t="shared" si="30"/>
        <v>0</v>
      </c>
      <c r="AJ39" s="553">
        <f t="shared" si="27"/>
        <v>0</v>
      </c>
      <c r="AK39" s="555">
        <f t="shared" si="7"/>
        <v>0</v>
      </c>
    </row>
    <row r="40" spans="2:37" x14ac:dyDescent="0.2">
      <c r="B40" s="16">
        <v>18</v>
      </c>
      <c r="C40" s="73">
        <f t="shared" si="0"/>
        <v>3.6</v>
      </c>
      <c r="D40" s="73">
        <f t="shared" si="8"/>
        <v>101.73493290803466</v>
      </c>
      <c r="E40" s="106">
        <f t="shared" si="9"/>
        <v>70.218311401068277</v>
      </c>
      <c r="F40" s="73">
        <f t="shared" si="10"/>
        <v>252.7859210438458</v>
      </c>
      <c r="G40" s="155">
        <f t="shared" si="11"/>
        <v>2.0616611104546201</v>
      </c>
      <c r="H40" s="140">
        <v>18</v>
      </c>
      <c r="I40" s="140">
        <f t="shared" si="1"/>
        <v>0</v>
      </c>
      <c r="J40" s="140">
        <f t="shared" si="12"/>
        <v>0</v>
      </c>
      <c r="K40" s="149">
        <f t="shared" si="28"/>
        <v>0</v>
      </c>
      <c r="L40" s="140">
        <f t="shared" si="13"/>
        <v>0</v>
      </c>
      <c r="M40" s="158">
        <f t="shared" si="14"/>
        <v>0</v>
      </c>
      <c r="N40" s="74">
        <v>18</v>
      </c>
      <c r="O40" s="75">
        <f t="shared" si="2"/>
        <v>0</v>
      </c>
      <c r="P40" s="75">
        <f t="shared" si="15"/>
        <v>0</v>
      </c>
      <c r="Q40" s="116">
        <f t="shared" si="16"/>
        <v>0</v>
      </c>
      <c r="R40" s="75">
        <f t="shared" si="17"/>
        <v>0</v>
      </c>
      <c r="S40" s="76">
        <f t="shared" si="18"/>
        <v>0</v>
      </c>
      <c r="T40" s="78">
        <v>18</v>
      </c>
      <c r="U40" s="78">
        <f t="shared" si="3"/>
        <v>0</v>
      </c>
      <c r="V40" s="78">
        <f t="shared" si="19"/>
        <v>0</v>
      </c>
      <c r="W40" s="117">
        <f t="shared" si="20"/>
        <v>0</v>
      </c>
      <c r="X40" s="78">
        <f t="shared" si="21"/>
        <v>0</v>
      </c>
      <c r="Y40" s="78">
        <f t="shared" si="22"/>
        <v>0</v>
      </c>
      <c r="Z40" s="79">
        <v>18</v>
      </c>
      <c r="AA40" s="80">
        <f t="shared" si="4"/>
        <v>0</v>
      </c>
      <c r="AB40" s="80">
        <f t="shared" si="23"/>
        <v>0</v>
      </c>
      <c r="AC40" s="118">
        <f t="shared" si="24"/>
        <v>0</v>
      </c>
      <c r="AD40" s="80">
        <f t="shared" si="25"/>
        <v>0</v>
      </c>
      <c r="AE40" s="80">
        <f t="shared" si="26"/>
        <v>0</v>
      </c>
      <c r="AF40" s="552">
        <v>18</v>
      </c>
      <c r="AG40" s="553">
        <f t="shared" si="5"/>
        <v>0</v>
      </c>
      <c r="AH40" s="553">
        <f t="shared" si="29"/>
        <v>0</v>
      </c>
      <c r="AI40" s="564">
        <f t="shared" si="30"/>
        <v>0</v>
      </c>
      <c r="AJ40" s="553">
        <f t="shared" si="27"/>
        <v>0</v>
      </c>
      <c r="AK40" s="555">
        <f t="shared" si="7"/>
        <v>0</v>
      </c>
    </row>
    <row r="41" spans="2:37" x14ac:dyDescent="0.2">
      <c r="B41" s="16">
        <v>19</v>
      </c>
      <c r="C41" s="73">
        <f t="shared" si="0"/>
        <v>0</v>
      </c>
      <c r="D41" s="73">
        <f t="shared" si="8"/>
        <v>0</v>
      </c>
      <c r="E41" s="106">
        <f t="shared" si="9"/>
        <v>0</v>
      </c>
      <c r="F41" s="73">
        <f t="shared" si="10"/>
        <v>0</v>
      </c>
      <c r="G41" s="155">
        <f t="shared" si="11"/>
        <v>0</v>
      </c>
      <c r="H41" s="140">
        <v>19</v>
      </c>
      <c r="I41" s="140">
        <f t="shared" si="1"/>
        <v>0</v>
      </c>
      <c r="J41" s="140">
        <f t="shared" si="12"/>
        <v>0</v>
      </c>
      <c r="K41" s="149">
        <f t="shared" si="28"/>
        <v>0</v>
      </c>
      <c r="L41" s="140">
        <f t="shared" si="13"/>
        <v>0</v>
      </c>
      <c r="M41" s="158">
        <f t="shared" si="14"/>
        <v>0</v>
      </c>
      <c r="N41" s="74">
        <v>19</v>
      </c>
      <c r="O41" s="75">
        <f t="shared" si="2"/>
        <v>0</v>
      </c>
      <c r="P41" s="75">
        <f t="shared" si="15"/>
        <v>0</v>
      </c>
      <c r="Q41" s="116">
        <f t="shared" si="16"/>
        <v>0</v>
      </c>
      <c r="R41" s="75">
        <f t="shared" si="17"/>
        <v>0</v>
      </c>
      <c r="S41" s="76">
        <f t="shared" si="18"/>
        <v>0</v>
      </c>
      <c r="T41" s="78">
        <v>19</v>
      </c>
      <c r="U41" s="78">
        <f t="shared" si="3"/>
        <v>0</v>
      </c>
      <c r="V41" s="78">
        <f t="shared" si="19"/>
        <v>0</v>
      </c>
      <c r="W41" s="117">
        <f t="shared" si="20"/>
        <v>0</v>
      </c>
      <c r="X41" s="78">
        <f t="shared" si="21"/>
        <v>0</v>
      </c>
      <c r="Y41" s="78">
        <f t="shared" si="22"/>
        <v>0</v>
      </c>
      <c r="Z41" s="79">
        <v>19</v>
      </c>
      <c r="AA41" s="80">
        <f t="shared" si="4"/>
        <v>0</v>
      </c>
      <c r="AB41" s="80">
        <f t="shared" si="23"/>
        <v>0</v>
      </c>
      <c r="AC41" s="118">
        <f t="shared" si="24"/>
        <v>0</v>
      </c>
      <c r="AD41" s="80">
        <f t="shared" si="25"/>
        <v>0</v>
      </c>
      <c r="AE41" s="80">
        <f t="shared" si="26"/>
        <v>0</v>
      </c>
      <c r="AF41" s="552">
        <v>19</v>
      </c>
      <c r="AG41" s="553">
        <f t="shared" si="5"/>
        <v>0</v>
      </c>
      <c r="AH41" s="553">
        <f t="shared" si="29"/>
        <v>0</v>
      </c>
      <c r="AI41" s="564">
        <f t="shared" si="30"/>
        <v>0</v>
      </c>
      <c r="AJ41" s="553">
        <f t="shared" si="27"/>
        <v>0</v>
      </c>
      <c r="AK41" s="555">
        <f t="shared" si="7"/>
        <v>0</v>
      </c>
    </row>
    <row r="42" spans="2:37" x14ac:dyDescent="0.2">
      <c r="B42" s="16">
        <v>20</v>
      </c>
      <c r="C42" s="73">
        <f t="shared" si="0"/>
        <v>0</v>
      </c>
      <c r="D42" s="73">
        <f t="shared" si="8"/>
        <v>0</v>
      </c>
      <c r="E42" s="106">
        <f t="shared" si="9"/>
        <v>0</v>
      </c>
      <c r="F42" s="73">
        <f t="shared" si="10"/>
        <v>0</v>
      </c>
      <c r="G42" s="155">
        <f t="shared" si="11"/>
        <v>0</v>
      </c>
      <c r="H42" s="140">
        <v>20</v>
      </c>
      <c r="I42" s="140">
        <f t="shared" si="1"/>
        <v>0</v>
      </c>
      <c r="J42" s="140">
        <f t="shared" si="12"/>
        <v>0</v>
      </c>
      <c r="K42" s="149">
        <f t="shared" si="28"/>
        <v>0</v>
      </c>
      <c r="L42" s="140">
        <f t="shared" si="13"/>
        <v>0</v>
      </c>
      <c r="M42" s="158">
        <f t="shared" si="14"/>
        <v>0</v>
      </c>
      <c r="N42" s="74">
        <v>20</v>
      </c>
      <c r="O42" s="75">
        <f t="shared" si="2"/>
        <v>0</v>
      </c>
      <c r="P42" s="75">
        <f t="shared" si="15"/>
        <v>0</v>
      </c>
      <c r="Q42" s="116">
        <f t="shared" si="16"/>
        <v>0</v>
      </c>
      <c r="R42" s="75">
        <f t="shared" si="17"/>
        <v>0</v>
      </c>
      <c r="S42" s="76">
        <f t="shared" si="18"/>
        <v>0</v>
      </c>
      <c r="T42" s="78">
        <v>20</v>
      </c>
      <c r="U42" s="78">
        <f t="shared" si="3"/>
        <v>0</v>
      </c>
      <c r="V42" s="78">
        <f t="shared" si="19"/>
        <v>0</v>
      </c>
      <c r="W42" s="117">
        <f t="shared" si="20"/>
        <v>0</v>
      </c>
      <c r="X42" s="78">
        <f t="shared" si="21"/>
        <v>0</v>
      </c>
      <c r="Y42" s="78">
        <f t="shared" si="22"/>
        <v>0</v>
      </c>
      <c r="Z42" s="79">
        <v>20</v>
      </c>
      <c r="AA42" s="80">
        <f t="shared" si="4"/>
        <v>0</v>
      </c>
      <c r="AB42" s="80">
        <f t="shared" si="23"/>
        <v>0</v>
      </c>
      <c r="AC42" s="118">
        <f t="shared" si="24"/>
        <v>0</v>
      </c>
      <c r="AD42" s="80">
        <f t="shared" si="25"/>
        <v>0</v>
      </c>
      <c r="AE42" s="80">
        <f t="shared" si="26"/>
        <v>0</v>
      </c>
      <c r="AF42" s="552">
        <v>20</v>
      </c>
      <c r="AG42" s="553">
        <f t="shared" si="5"/>
        <v>0</v>
      </c>
      <c r="AH42" s="553">
        <f t="shared" si="29"/>
        <v>0</v>
      </c>
      <c r="AI42" s="564">
        <f t="shared" si="30"/>
        <v>0</v>
      </c>
      <c r="AJ42" s="553">
        <f t="shared" si="27"/>
        <v>0</v>
      </c>
      <c r="AK42" s="555">
        <f t="shared" si="7"/>
        <v>0</v>
      </c>
    </row>
    <row r="43" spans="2:37" x14ac:dyDescent="0.2">
      <c r="B43" s="16">
        <v>21</v>
      </c>
      <c r="C43" s="73">
        <f t="shared" si="0"/>
        <v>0</v>
      </c>
      <c r="D43" s="73">
        <f t="shared" si="8"/>
        <v>0</v>
      </c>
      <c r="E43" s="106">
        <f t="shared" si="9"/>
        <v>0</v>
      </c>
      <c r="F43" s="73">
        <f t="shared" si="10"/>
        <v>0</v>
      </c>
      <c r="G43" s="155">
        <f t="shared" si="11"/>
        <v>0</v>
      </c>
      <c r="H43" s="140">
        <v>21</v>
      </c>
      <c r="I43" s="140">
        <f t="shared" si="1"/>
        <v>0</v>
      </c>
      <c r="J43" s="140">
        <f t="shared" si="12"/>
        <v>0</v>
      </c>
      <c r="K43" s="149">
        <f t="shared" si="28"/>
        <v>0</v>
      </c>
      <c r="L43" s="140">
        <f t="shared" si="13"/>
        <v>0</v>
      </c>
      <c r="M43" s="158">
        <f t="shared" si="14"/>
        <v>0</v>
      </c>
      <c r="N43" s="74">
        <v>21</v>
      </c>
      <c r="O43" s="75">
        <f t="shared" si="2"/>
        <v>0</v>
      </c>
      <c r="P43" s="75">
        <f t="shared" si="15"/>
        <v>0</v>
      </c>
      <c r="Q43" s="116">
        <f t="shared" si="16"/>
        <v>0</v>
      </c>
      <c r="R43" s="75">
        <f t="shared" si="17"/>
        <v>0</v>
      </c>
      <c r="S43" s="76">
        <f t="shared" si="18"/>
        <v>0</v>
      </c>
      <c r="T43" s="78">
        <v>21</v>
      </c>
      <c r="U43" s="78">
        <f t="shared" si="3"/>
        <v>0</v>
      </c>
      <c r="V43" s="78">
        <f t="shared" si="19"/>
        <v>0</v>
      </c>
      <c r="W43" s="117">
        <f t="shared" si="20"/>
        <v>0</v>
      </c>
      <c r="X43" s="78">
        <f t="shared" si="21"/>
        <v>0</v>
      </c>
      <c r="Y43" s="78">
        <f t="shared" si="22"/>
        <v>0</v>
      </c>
      <c r="Z43" s="79">
        <v>21</v>
      </c>
      <c r="AA43" s="80">
        <f t="shared" si="4"/>
        <v>0</v>
      </c>
      <c r="AB43" s="80">
        <f t="shared" si="23"/>
        <v>0</v>
      </c>
      <c r="AC43" s="118">
        <f t="shared" si="24"/>
        <v>0</v>
      </c>
      <c r="AD43" s="80">
        <f t="shared" si="25"/>
        <v>0</v>
      </c>
      <c r="AE43" s="80">
        <f t="shared" si="26"/>
        <v>0</v>
      </c>
      <c r="AF43" s="552">
        <v>21</v>
      </c>
      <c r="AG43" s="553">
        <f t="shared" si="5"/>
        <v>0</v>
      </c>
      <c r="AH43" s="553">
        <f t="shared" si="29"/>
        <v>0</v>
      </c>
      <c r="AI43" s="564">
        <f t="shared" si="30"/>
        <v>0</v>
      </c>
      <c r="AJ43" s="553">
        <f t="shared" si="27"/>
        <v>0</v>
      </c>
      <c r="AK43" s="555">
        <f t="shared" si="7"/>
        <v>0</v>
      </c>
    </row>
    <row r="44" spans="2:37" x14ac:dyDescent="0.2">
      <c r="B44" s="16">
        <v>22</v>
      </c>
      <c r="C44" s="73">
        <f t="shared" si="0"/>
        <v>3.6</v>
      </c>
      <c r="D44" s="73">
        <f t="shared" si="8"/>
        <v>115.41516694149576</v>
      </c>
      <c r="E44" s="106">
        <f t="shared" si="9"/>
        <v>118.12700854166643</v>
      </c>
      <c r="F44" s="73">
        <f t="shared" si="10"/>
        <v>425.25723074999917</v>
      </c>
      <c r="G44" s="155">
        <f t="shared" si="11"/>
        <v>3.3547900338561822</v>
      </c>
      <c r="H44" s="140">
        <v>22</v>
      </c>
      <c r="I44" s="140">
        <f t="shared" si="1"/>
        <v>0</v>
      </c>
      <c r="J44" s="140">
        <f t="shared" si="12"/>
        <v>0</v>
      </c>
      <c r="K44" s="149">
        <f t="shared" si="28"/>
        <v>0</v>
      </c>
      <c r="L44" s="140">
        <f t="shared" si="13"/>
        <v>0</v>
      </c>
      <c r="M44" s="158">
        <f t="shared" si="14"/>
        <v>0</v>
      </c>
      <c r="N44" s="74">
        <v>22</v>
      </c>
      <c r="O44" s="75">
        <f t="shared" si="2"/>
        <v>0</v>
      </c>
      <c r="P44" s="75">
        <f t="shared" si="15"/>
        <v>0</v>
      </c>
      <c r="Q44" s="116">
        <f t="shared" si="16"/>
        <v>0</v>
      </c>
      <c r="R44" s="75">
        <f t="shared" si="17"/>
        <v>0</v>
      </c>
      <c r="S44" s="76">
        <f t="shared" si="18"/>
        <v>0</v>
      </c>
      <c r="T44" s="78">
        <v>22</v>
      </c>
      <c r="U44" s="78">
        <f t="shared" si="3"/>
        <v>0</v>
      </c>
      <c r="V44" s="78">
        <f t="shared" si="19"/>
        <v>0</v>
      </c>
      <c r="W44" s="117">
        <f t="shared" si="20"/>
        <v>0</v>
      </c>
      <c r="X44" s="78">
        <f t="shared" si="21"/>
        <v>0</v>
      </c>
      <c r="Y44" s="78">
        <f t="shared" si="22"/>
        <v>0</v>
      </c>
      <c r="Z44" s="79">
        <v>22</v>
      </c>
      <c r="AA44" s="80">
        <f t="shared" si="4"/>
        <v>0</v>
      </c>
      <c r="AB44" s="80">
        <f t="shared" si="23"/>
        <v>0</v>
      </c>
      <c r="AC44" s="118">
        <f t="shared" si="24"/>
        <v>0</v>
      </c>
      <c r="AD44" s="80">
        <f t="shared" si="25"/>
        <v>0</v>
      </c>
      <c r="AE44" s="80">
        <f t="shared" si="26"/>
        <v>0</v>
      </c>
      <c r="AF44" s="552">
        <v>22</v>
      </c>
      <c r="AG44" s="553">
        <f t="shared" si="5"/>
        <v>0</v>
      </c>
      <c r="AH44" s="553">
        <f t="shared" si="29"/>
        <v>0</v>
      </c>
      <c r="AI44" s="564">
        <f t="shared" si="30"/>
        <v>0</v>
      </c>
      <c r="AJ44" s="553">
        <f t="shared" si="27"/>
        <v>0</v>
      </c>
      <c r="AK44" s="555">
        <f t="shared" si="7"/>
        <v>0</v>
      </c>
    </row>
    <row r="45" spans="2:37" x14ac:dyDescent="0.2">
      <c r="B45" s="16">
        <v>23</v>
      </c>
      <c r="C45" s="73">
        <f t="shared" si="0"/>
        <v>0</v>
      </c>
      <c r="D45" s="73">
        <f t="shared" si="8"/>
        <v>0</v>
      </c>
      <c r="E45" s="106">
        <f t="shared" si="9"/>
        <v>0</v>
      </c>
      <c r="F45" s="73">
        <f t="shared" si="10"/>
        <v>0</v>
      </c>
      <c r="G45" s="155">
        <f t="shared" si="11"/>
        <v>0</v>
      </c>
      <c r="H45" s="140">
        <v>23</v>
      </c>
      <c r="I45" s="140">
        <f t="shared" si="1"/>
        <v>0</v>
      </c>
      <c r="J45" s="140">
        <f t="shared" si="12"/>
        <v>0</v>
      </c>
      <c r="K45" s="149">
        <f t="shared" si="28"/>
        <v>0</v>
      </c>
      <c r="L45" s="140">
        <f t="shared" si="13"/>
        <v>0</v>
      </c>
      <c r="M45" s="158">
        <f t="shared" si="14"/>
        <v>0</v>
      </c>
      <c r="N45" s="74">
        <v>23</v>
      </c>
      <c r="O45" s="75">
        <f t="shared" si="2"/>
        <v>0</v>
      </c>
      <c r="P45" s="75">
        <f t="shared" si="15"/>
        <v>0</v>
      </c>
      <c r="Q45" s="116">
        <f t="shared" si="16"/>
        <v>0</v>
      </c>
      <c r="R45" s="75">
        <f t="shared" si="17"/>
        <v>0</v>
      </c>
      <c r="S45" s="76">
        <f t="shared" si="18"/>
        <v>0</v>
      </c>
      <c r="T45" s="78">
        <v>23</v>
      </c>
      <c r="U45" s="78">
        <f t="shared" si="3"/>
        <v>0</v>
      </c>
      <c r="V45" s="78">
        <f t="shared" si="19"/>
        <v>0</v>
      </c>
      <c r="W45" s="117">
        <f t="shared" si="20"/>
        <v>0</v>
      </c>
      <c r="X45" s="78">
        <f t="shared" si="21"/>
        <v>0</v>
      </c>
      <c r="Y45" s="78">
        <f t="shared" si="22"/>
        <v>0</v>
      </c>
      <c r="Z45" s="79">
        <v>23</v>
      </c>
      <c r="AA45" s="80">
        <f t="shared" si="4"/>
        <v>0</v>
      </c>
      <c r="AB45" s="80">
        <f t="shared" si="23"/>
        <v>0</v>
      </c>
      <c r="AC45" s="118">
        <f t="shared" si="24"/>
        <v>0</v>
      </c>
      <c r="AD45" s="80">
        <f t="shared" si="25"/>
        <v>0</v>
      </c>
      <c r="AE45" s="80">
        <f t="shared" si="26"/>
        <v>0</v>
      </c>
      <c r="AF45" s="552">
        <v>23</v>
      </c>
      <c r="AG45" s="553">
        <f t="shared" si="5"/>
        <v>0</v>
      </c>
      <c r="AH45" s="553">
        <f t="shared" si="29"/>
        <v>0</v>
      </c>
      <c r="AI45" s="564">
        <f t="shared" si="30"/>
        <v>0</v>
      </c>
      <c r="AJ45" s="553">
        <f t="shared" si="27"/>
        <v>0</v>
      </c>
      <c r="AK45" s="555">
        <f t="shared" si="7"/>
        <v>0</v>
      </c>
    </row>
    <row r="46" spans="2:37" x14ac:dyDescent="0.2">
      <c r="B46" s="16">
        <v>24</v>
      </c>
      <c r="C46" s="73">
        <f t="shared" si="0"/>
        <v>0</v>
      </c>
      <c r="D46" s="73">
        <f t="shared" si="8"/>
        <v>0</v>
      </c>
      <c r="E46" s="106">
        <f t="shared" si="9"/>
        <v>0</v>
      </c>
      <c r="F46" s="73">
        <f t="shared" si="10"/>
        <v>0</v>
      </c>
      <c r="G46" s="155">
        <f t="shared" si="11"/>
        <v>0</v>
      </c>
      <c r="H46" s="140">
        <v>24</v>
      </c>
      <c r="I46" s="140">
        <f t="shared" si="1"/>
        <v>0</v>
      </c>
      <c r="J46" s="140">
        <f t="shared" si="12"/>
        <v>0</v>
      </c>
      <c r="K46" s="149">
        <f t="shared" si="28"/>
        <v>0</v>
      </c>
      <c r="L46" s="140">
        <f t="shared" si="13"/>
        <v>0</v>
      </c>
      <c r="M46" s="158">
        <f t="shared" si="14"/>
        <v>0</v>
      </c>
      <c r="N46" s="74">
        <v>24</v>
      </c>
      <c r="O46" s="75">
        <f t="shared" si="2"/>
        <v>0</v>
      </c>
      <c r="P46" s="75">
        <f t="shared" si="15"/>
        <v>0</v>
      </c>
      <c r="Q46" s="116">
        <f t="shared" si="16"/>
        <v>0</v>
      </c>
      <c r="R46" s="75">
        <f t="shared" si="17"/>
        <v>0</v>
      </c>
      <c r="S46" s="76">
        <f t="shared" si="18"/>
        <v>0</v>
      </c>
      <c r="T46" s="78">
        <v>24</v>
      </c>
      <c r="U46" s="78">
        <f t="shared" si="3"/>
        <v>0</v>
      </c>
      <c r="V46" s="78">
        <f t="shared" si="19"/>
        <v>0</v>
      </c>
      <c r="W46" s="117">
        <f t="shared" si="20"/>
        <v>0</v>
      </c>
      <c r="X46" s="78">
        <f t="shared" si="21"/>
        <v>0</v>
      </c>
      <c r="Y46" s="78">
        <f t="shared" si="22"/>
        <v>0</v>
      </c>
      <c r="Z46" s="79">
        <v>24</v>
      </c>
      <c r="AA46" s="80">
        <f t="shared" si="4"/>
        <v>0</v>
      </c>
      <c r="AB46" s="80">
        <f t="shared" si="23"/>
        <v>0</v>
      </c>
      <c r="AC46" s="118">
        <f t="shared" si="24"/>
        <v>0</v>
      </c>
      <c r="AD46" s="80">
        <f t="shared" si="25"/>
        <v>0</v>
      </c>
      <c r="AE46" s="80">
        <f t="shared" si="26"/>
        <v>0</v>
      </c>
      <c r="AF46" s="552">
        <v>24</v>
      </c>
      <c r="AG46" s="553">
        <f t="shared" si="5"/>
        <v>0</v>
      </c>
      <c r="AH46" s="553">
        <f t="shared" si="29"/>
        <v>0</v>
      </c>
      <c r="AI46" s="564">
        <f t="shared" si="30"/>
        <v>0</v>
      </c>
      <c r="AJ46" s="553">
        <f t="shared" si="27"/>
        <v>0</v>
      </c>
      <c r="AK46" s="555">
        <f t="shared" si="7"/>
        <v>0</v>
      </c>
    </row>
    <row r="47" spans="2:37" x14ac:dyDescent="0.2">
      <c r="B47" s="16">
        <v>25</v>
      </c>
      <c r="C47" s="73">
        <f t="shared" si="0"/>
        <v>0</v>
      </c>
      <c r="D47" s="73">
        <f t="shared" si="8"/>
        <v>0</v>
      </c>
      <c r="E47" s="106">
        <f t="shared" si="9"/>
        <v>0</v>
      </c>
      <c r="F47" s="73">
        <f t="shared" si="10"/>
        <v>0</v>
      </c>
      <c r="G47" s="155">
        <f t="shared" si="11"/>
        <v>0</v>
      </c>
      <c r="H47" s="140">
        <v>25</v>
      </c>
      <c r="I47" s="140">
        <f t="shared" si="1"/>
        <v>0</v>
      </c>
      <c r="J47" s="140">
        <f t="shared" si="12"/>
        <v>0</v>
      </c>
      <c r="K47" s="149">
        <f t="shared" si="28"/>
        <v>0</v>
      </c>
      <c r="L47" s="140">
        <f t="shared" si="13"/>
        <v>0</v>
      </c>
      <c r="M47" s="158">
        <f t="shared" si="14"/>
        <v>0</v>
      </c>
      <c r="N47" s="74">
        <v>25</v>
      </c>
      <c r="O47" s="75">
        <f t="shared" si="2"/>
        <v>0</v>
      </c>
      <c r="P47" s="75">
        <f t="shared" si="15"/>
        <v>0</v>
      </c>
      <c r="Q47" s="116">
        <f t="shared" si="16"/>
        <v>0</v>
      </c>
      <c r="R47" s="75">
        <f t="shared" si="17"/>
        <v>0</v>
      </c>
      <c r="S47" s="76">
        <f t="shared" si="18"/>
        <v>0</v>
      </c>
      <c r="T47" s="78">
        <v>25</v>
      </c>
      <c r="U47" s="78">
        <f t="shared" si="3"/>
        <v>0</v>
      </c>
      <c r="V47" s="78">
        <f t="shared" si="19"/>
        <v>0</v>
      </c>
      <c r="W47" s="117">
        <f t="shared" si="20"/>
        <v>0</v>
      </c>
      <c r="X47" s="78">
        <f t="shared" si="21"/>
        <v>0</v>
      </c>
      <c r="Y47" s="78">
        <f t="shared" si="22"/>
        <v>0</v>
      </c>
      <c r="Z47" s="79">
        <v>25</v>
      </c>
      <c r="AA47" s="80">
        <f t="shared" si="4"/>
        <v>0</v>
      </c>
      <c r="AB47" s="80">
        <f t="shared" si="23"/>
        <v>0</v>
      </c>
      <c r="AC47" s="118">
        <f t="shared" si="24"/>
        <v>0</v>
      </c>
      <c r="AD47" s="80">
        <f t="shared" si="25"/>
        <v>0</v>
      </c>
      <c r="AE47" s="80">
        <f t="shared" si="26"/>
        <v>0</v>
      </c>
      <c r="AF47" s="552">
        <v>25</v>
      </c>
      <c r="AG47" s="553">
        <f t="shared" si="5"/>
        <v>0</v>
      </c>
      <c r="AH47" s="553">
        <f t="shared" si="29"/>
        <v>0</v>
      </c>
      <c r="AI47" s="564">
        <f t="shared" si="30"/>
        <v>0</v>
      </c>
      <c r="AJ47" s="553">
        <f t="shared" si="27"/>
        <v>0</v>
      </c>
      <c r="AK47" s="555">
        <f t="shared" si="7"/>
        <v>0</v>
      </c>
    </row>
    <row r="48" spans="2:37" x14ac:dyDescent="0.2">
      <c r="B48" s="16">
        <v>26</v>
      </c>
      <c r="C48" s="73">
        <f t="shared" si="0"/>
        <v>0</v>
      </c>
      <c r="D48" s="73">
        <f t="shared" si="8"/>
        <v>0</v>
      </c>
      <c r="E48" s="106">
        <f t="shared" si="9"/>
        <v>0</v>
      </c>
      <c r="F48" s="73">
        <f t="shared" si="10"/>
        <v>0</v>
      </c>
      <c r="G48" s="155">
        <f t="shared" si="11"/>
        <v>0</v>
      </c>
      <c r="H48" s="140">
        <v>26</v>
      </c>
      <c r="I48" s="140">
        <f t="shared" si="1"/>
        <v>0</v>
      </c>
      <c r="J48" s="140">
        <f t="shared" si="12"/>
        <v>0</v>
      </c>
      <c r="K48" s="149">
        <f t="shared" si="28"/>
        <v>0</v>
      </c>
      <c r="L48" s="140">
        <f t="shared" si="13"/>
        <v>0</v>
      </c>
      <c r="M48" s="158">
        <f t="shared" si="14"/>
        <v>0</v>
      </c>
      <c r="N48" s="74">
        <v>26</v>
      </c>
      <c r="O48" s="75">
        <f t="shared" si="2"/>
        <v>0</v>
      </c>
      <c r="P48" s="75">
        <f t="shared" si="15"/>
        <v>0</v>
      </c>
      <c r="Q48" s="116">
        <f t="shared" si="16"/>
        <v>0</v>
      </c>
      <c r="R48" s="75">
        <f t="shared" si="17"/>
        <v>0</v>
      </c>
      <c r="S48" s="76">
        <f t="shared" si="18"/>
        <v>0</v>
      </c>
      <c r="T48" s="78">
        <v>26</v>
      </c>
      <c r="U48" s="78">
        <f t="shared" si="3"/>
        <v>0</v>
      </c>
      <c r="V48" s="78">
        <f t="shared" si="19"/>
        <v>0</v>
      </c>
      <c r="W48" s="117">
        <f t="shared" si="20"/>
        <v>0</v>
      </c>
      <c r="X48" s="78">
        <f t="shared" si="21"/>
        <v>0</v>
      </c>
      <c r="Y48" s="78">
        <f t="shared" si="22"/>
        <v>0</v>
      </c>
      <c r="Z48" s="79">
        <v>26</v>
      </c>
      <c r="AA48" s="80">
        <f t="shared" si="4"/>
        <v>0</v>
      </c>
      <c r="AB48" s="80">
        <f t="shared" si="23"/>
        <v>0</v>
      </c>
      <c r="AC48" s="118">
        <f t="shared" si="24"/>
        <v>0</v>
      </c>
      <c r="AD48" s="80">
        <f t="shared" si="25"/>
        <v>0</v>
      </c>
      <c r="AE48" s="80">
        <f t="shared" si="26"/>
        <v>0</v>
      </c>
      <c r="AF48" s="552">
        <v>26</v>
      </c>
      <c r="AG48" s="553">
        <f t="shared" si="5"/>
        <v>0</v>
      </c>
      <c r="AH48" s="553">
        <f t="shared" si="29"/>
        <v>0</v>
      </c>
      <c r="AI48" s="564">
        <f t="shared" si="30"/>
        <v>0</v>
      </c>
      <c r="AJ48" s="553">
        <f t="shared" si="27"/>
        <v>0</v>
      </c>
      <c r="AK48" s="555">
        <f t="shared" si="7"/>
        <v>0</v>
      </c>
    </row>
    <row r="49" spans="2:40" x14ac:dyDescent="0.2">
      <c r="B49" s="16">
        <v>27</v>
      </c>
      <c r="C49" s="73">
        <f t="shared" si="0"/>
        <v>0</v>
      </c>
      <c r="D49" s="73">
        <f t="shared" si="8"/>
        <v>0</v>
      </c>
      <c r="E49" s="106">
        <f t="shared" si="9"/>
        <v>0</v>
      </c>
      <c r="F49" s="73">
        <f t="shared" si="10"/>
        <v>0</v>
      </c>
      <c r="G49" s="155">
        <f t="shared" si="11"/>
        <v>0</v>
      </c>
      <c r="H49" s="140">
        <v>27</v>
      </c>
      <c r="I49" s="140">
        <f t="shared" si="1"/>
        <v>0</v>
      </c>
      <c r="J49" s="140">
        <f t="shared" si="12"/>
        <v>0</v>
      </c>
      <c r="K49" s="149">
        <f t="shared" si="28"/>
        <v>0</v>
      </c>
      <c r="L49" s="140">
        <f t="shared" si="13"/>
        <v>0</v>
      </c>
      <c r="M49" s="158">
        <f t="shared" si="14"/>
        <v>0</v>
      </c>
      <c r="N49" s="74">
        <v>27</v>
      </c>
      <c r="O49" s="75">
        <f t="shared" si="2"/>
        <v>0</v>
      </c>
      <c r="P49" s="75">
        <f t="shared" si="15"/>
        <v>0</v>
      </c>
      <c r="Q49" s="116">
        <f t="shared" si="16"/>
        <v>0</v>
      </c>
      <c r="R49" s="75">
        <f t="shared" si="17"/>
        <v>0</v>
      </c>
      <c r="S49" s="76">
        <f t="shared" si="18"/>
        <v>0</v>
      </c>
      <c r="T49" s="78">
        <v>27</v>
      </c>
      <c r="U49" s="78">
        <f t="shared" si="3"/>
        <v>0</v>
      </c>
      <c r="V49" s="78">
        <f t="shared" si="19"/>
        <v>0</v>
      </c>
      <c r="W49" s="117">
        <f t="shared" si="20"/>
        <v>0</v>
      </c>
      <c r="X49" s="78">
        <f t="shared" si="21"/>
        <v>0</v>
      </c>
      <c r="Y49" s="78">
        <f t="shared" si="22"/>
        <v>0</v>
      </c>
      <c r="Z49" s="79">
        <v>27</v>
      </c>
      <c r="AA49" s="80">
        <f t="shared" si="4"/>
        <v>0</v>
      </c>
      <c r="AB49" s="80">
        <f t="shared" si="23"/>
        <v>0</v>
      </c>
      <c r="AC49" s="118">
        <f t="shared" si="24"/>
        <v>0</v>
      </c>
      <c r="AD49" s="80">
        <f t="shared" si="25"/>
        <v>0</v>
      </c>
      <c r="AE49" s="80">
        <f t="shared" si="26"/>
        <v>0</v>
      </c>
      <c r="AF49" s="552">
        <v>27</v>
      </c>
      <c r="AG49" s="553">
        <f t="shared" si="5"/>
        <v>0</v>
      </c>
      <c r="AH49" s="553">
        <f t="shared" si="29"/>
        <v>0</v>
      </c>
      <c r="AI49" s="564">
        <f t="shared" si="30"/>
        <v>0</v>
      </c>
      <c r="AJ49" s="553">
        <f t="shared" si="27"/>
        <v>0</v>
      </c>
      <c r="AK49" s="555">
        <f t="shared" si="7"/>
        <v>0</v>
      </c>
    </row>
    <row r="50" spans="2:40" x14ac:dyDescent="0.2">
      <c r="B50" s="16">
        <v>28</v>
      </c>
      <c r="C50" s="73">
        <f t="shared" si="0"/>
        <v>0</v>
      </c>
      <c r="D50" s="73">
        <f t="shared" si="8"/>
        <v>0</v>
      </c>
      <c r="E50" s="106">
        <f t="shared" si="9"/>
        <v>0</v>
      </c>
      <c r="F50" s="73">
        <f t="shared" si="10"/>
        <v>0</v>
      </c>
      <c r="G50" s="155">
        <f t="shared" si="11"/>
        <v>0</v>
      </c>
      <c r="H50" s="140">
        <v>28</v>
      </c>
      <c r="I50" s="140">
        <f t="shared" si="1"/>
        <v>0</v>
      </c>
      <c r="J50" s="140">
        <f t="shared" si="12"/>
        <v>0</v>
      </c>
      <c r="K50" s="149">
        <f t="shared" si="28"/>
        <v>0</v>
      </c>
      <c r="L50" s="140">
        <f t="shared" si="13"/>
        <v>0</v>
      </c>
      <c r="M50" s="158">
        <f t="shared" si="14"/>
        <v>0</v>
      </c>
      <c r="N50" s="74">
        <v>28</v>
      </c>
      <c r="O50" s="75">
        <f t="shared" si="2"/>
        <v>0</v>
      </c>
      <c r="P50" s="75">
        <f t="shared" si="15"/>
        <v>0</v>
      </c>
      <c r="Q50" s="116">
        <f t="shared" si="16"/>
        <v>0</v>
      </c>
      <c r="R50" s="75">
        <f t="shared" si="17"/>
        <v>0</v>
      </c>
      <c r="S50" s="76">
        <f t="shared" si="18"/>
        <v>0</v>
      </c>
      <c r="T50" s="78">
        <v>28</v>
      </c>
      <c r="U50" s="78">
        <f t="shared" si="3"/>
        <v>0</v>
      </c>
      <c r="V50" s="78">
        <f t="shared" si="19"/>
        <v>0</v>
      </c>
      <c r="W50" s="117">
        <f t="shared" si="20"/>
        <v>0</v>
      </c>
      <c r="X50" s="78">
        <f t="shared" si="21"/>
        <v>0</v>
      </c>
      <c r="Y50" s="78">
        <f t="shared" si="22"/>
        <v>0</v>
      </c>
      <c r="Z50" s="79">
        <v>28</v>
      </c>
      <c r="AA50" s="80">
        <f t="shared" si="4"/>
        <v>0</v>
      </c>
      <c r="AB50" s="80">
        <f t="shared" si="23"/>
        <v>0</v>
      </c>
      <c r="AC50" s="118">
        <f t="shared" si="24"/>
        <v>0</v>
      </c>
      <c r="AD50" s="80">
        <f t="shared" si="25"/>
        <v>0</v>
      </c>
      <c r="AE50" s="80">
        <f t="shared" si="26"/>
        <v>0</v>
      </c>
      <c r="AF50" s="552">
        <v>28</v>
      </c>
      <c r="AG50" s="553">
        <f t="shared" si="5"/>
        <v>0</v>
      </c>
      <c r="AH50" s="553">
        <f t="shared" si="29"/>
        <v>0</v>
      </c>
      <c r="AI50" s="564">
        <f t="shared" si="30"/>
        <v>0</v>
      </c>
      <c r="AJ50" s="553">
        <f t="shared" si="27"/>
        <v>0</v>
      </c>
      <c r="AK50" s="555">
        <f t="shared" si="7"/>
        <v>0</v>
      </c>
    </row>
    <row r="51" spans="2:40" x14ac:dyDescent="0.2">
      <c r="B51" s="16">
        <v>29</v>
      </c>
      <c r="C51" s="73">
        <f t="shared" si="0"/>
        <v>0</v>
      </c>
      <c r="D51" s="73">
        <f t="shared" si="8"/>
        <v>0</v>
      </c>
      <c r="E51" s="106">
        <f t="shared" si="9"/>
        <v>0</v>
      </c>
      <c r="F51" s="73">
        <f t="shared" si="10"/>
        <v>0</v>
      </c>
      <c r="G51" s="155">
        <f t="shared" si="11"/>
        <v>0</v>
      </c>
      <c r="H51" s="140">
        <v>29</v>
      </c>
      <c r="I51" s="140">
        <f t="shared" si="1"/>
        <v>0</v>
      </c>
      <c r="J51" s="140">
        <f t="shared" si="12"/>
        <v>0</v>
      </c>
      <c r="K51" s="149">
        <f t="shared" si="28"/>
        <v>0</v>
      </c>
      <c r="L51" s="140">
        <f t="shared" si="13"/>
        <v>0</v>
      </c>
      <c r="M51" s="158">
        <f t="shared" si="14"/>
        <v>0</v>
      </c>
      <c r="N51" s="74">
        <v>29</v>
      </c>
      <c r="O51" s="75">
        <f t="shared" si="2"/>
        <v>0</v>
      </c>
      <c r="P51" s="75">
        <f t="shared" si="15"/>
        <v>0</v>
      </c>
      <c r="Q51" s="116">
        <f t="shared" si="16"/>
        <v>0</v>
      </c>
      <c r="R51" s="75">
        <f t="shared" si="17"/>
        <v>0</v>
      </c>
      <c r="S51" s="76">
        <f t="shared" si="18"/>
        <v>0</v>
      </c>
      <c r="T51" s="78">
        <v>29</v>
      </c>
      <c r="U51" s="78">
        <f t="shared" si="3"/>
        <v>0</v>
      </c>
      <c r="V51" s="78">
        <f t="shared" si="19"/>
        <v>0</v>
      </c>
      <c r="W51" s="117">
        <f t="shared" si="20"/>
        <v>0</v>
      </c>
      <c r="X51" s="78">
        <f t="shared" si="21"/>
        <v>0</v>
      </c>
      <c r="Y51" s="78">
        <f t="shared" si="22"/>
        <v>0</v>
      </c>
      <c r="Z51" s="79">
        <v>29</v>
      </c>
      <c r="AA51" s="80">
        <f t="shared" si="4"/>
        <v>0</v>
      </c>
      <c r="AB51" s="80">
        <f t="shared" si="23"/>
        <v>0</v>
      </c>
      <c r="AC51" s="118">
        <f t="shared" si="24"/>
        <v>0</v>
      </c>
      <c r="AD51" s="80">
        <f t="shared" si="25"/>
        <v>0</v>
      </c>
      <c r="AE51" s="80">
        <f t="shared" si="26"/>
        <v>0</v>
      </c>
      <c r="AF51" s="552">
        <v>29</v>
      </c>
      <c r="AG51" s="553">
        <f t="shared" si="5"/>
        <v>0</v>
      </c>
      <c r="AH51" s="553">
        <f t="shared" si="29"/>
        <v>0</v>
      </c>
      <c r="AI51" s="564">
        <f t="shared" si="30"/>
        <v>0</v>
      </c>
      <c r="AJ51" s="553">
        <f t="shared" si="27"/>
        <v>0</v>
      </c>
      <c r="AK51" s="555">
        <f t="shared" si="7"/>
        <v>0</v>
      </c>
    </row>
    <row r="52" spans="2:40" x14ac:dyDescent="0.2">
      <c r="B52" s="16">
        <v>30</v>
      </c>
      <c r="C52" s="73">
        <f t="shared" si="0"/>
        <v>0</v>
      </c>
      <c r="D52" s="73">
        <f t="shared" si="8"/>
        <v>0</v>
      </c>
      <c r="E52" s="106">
        <f t="shared" si="9"/>
        <v>0</v>
      </c>
      <c r="F52" s="73">
        <f t="shared" si="10"/>
        <v>0</v>
      </c>
      <c r="G52" s="155">
        <f t="shared" si="11"/>
        <v>0</v>
      </c>
      <c r="H52" s="140">
        <v>30</v>
      </c>
      <c r="I52" s="140">
        <f t="shared" si="1"/>
        <v>0</v>
      </c>
      <c r="J52" s="140">
        <f t="shared" si="12"/>
        <v>0</v>
      </c>
      <c r="K52" s="149">
        <f t="shared" si="28"/>
        <v>0</v>
      </c>
      <c r="L52" s="140">
        <f t="shared" si="13"/>
        <v>0</v>
      </c>
      <c r="M52" s="158">
        <f t="shared" si="14"/>
        <v>0</v>
      </c>
      <c r="N52" s="74">
        <v>30</v>
      </c>
      <c r="O52" s="75">
        <f t="shared" si="2"/>
        <v>0</v>
      </c>
      <c r="P52" s="75">
        <f t="shared" si="15"/>
        <v>0</v>
      </c>
      <c r="Q52" s="116">
        <f t="shared" si="16"/>
        <v>0</v>
      </c>
      <c r="R52" s="75">
        <f t="shared" si="17"/>
        <v>0</v>
      </c>
      <c r="S52" s="76">
        <f t="shared" si="18"/>
        <v>0</v>
      </c>
      <c r="T52" s="78">
        <v>30</v>
      </c>
      <c r="U52" s="78">
        <f t="shared" si="3"/>
        <v>0</v>
      </c>
      <c r="V52" s="78">
        <f t="shared" si="19"/>
        <v>0</v>
      </c>
      <c r="W52" s="117">
        <f t="shared" si="20"/>
        <v>0</v>
      </c>
      <c r="X52" s="78">
        <f t="shared" si="21"/>
        <v>0</v>
      </c>
      <c r="Y52" s="78">
        <f t="shared" si="22"/>
        <v>0</v>
      </c>
      <c r="Z52" s="79">
        <v>30</v>
      </c>
      <c r="AA52" s="80">
        <f t="shared" si="4"/>
        <v>0</v>
      </c>
      <c r="AB52" s="80">
        <f t="shared" si="23"/>
        <v>0</v>
      </c>
      <c r="AC52" s="118">
        <f t="shared" si="24"/>
        <v>0</v>
      </c>
      <c r="AD52" s="80">
        <f t="shared" si="25"/>
        <v>0</v>
      </c>
      <c r="AE52" s="80">
        <f t="shared" si="26"/>
        <v>0</v>
      </c>
      <c r="AF52" s="552">
        <v>30</v>
      </c>
      <c r="AG52" s="553">
        <f t="shared" si="5"/>
        <v>0</v>
      </c>
      <c r="AH52" s="553">
        <f t="shared" si="29"/>
        <v>0</v>
      </c>
      <c r="AI52" s="564">
        <f t="shared" si="30"/>
        <v>0</v>
      </c>
      <c r="AJ52" s="553">
        <f t="shared" si="27"/>
        <v>0</v>
      </c>
      <c r="AK52" s="555">
        <f t="shared" si="7"/>
        <v>0</v>
      </c>
    </row>
    <row r="53" spans="2:40" x14ac:dyDescent="0.2">
      <c r="B53" s="16">
        <v>31</v>
      </c>
      <c r="C53" s="73">
        <f t="shared" si="0"/>
        <v>0</v>
      </c>
      <c r="D53" s="73">
        <f t="shared" si="8"/>
        <v>0</v>
      </c>
      <c r="E53" s="106">
        <f t="shared" si="9"/>
        <v>0</v>
      </c>
      <c r="F53" s="73">
        <f t="shared" si="10"/>
        <v>0</v>
      </c>
      <c r="G53" s="155">
        <f t="shared" si="11"/>
        <v>0</v>
      </c>
      <c r="H53" s="140">
        <v>31</v>
      </c>
      <c r="I53" s="140">
        <f t="shared" si="1"/>
        <v>0</v>
      </c>
      <c r="J53" s="140">
        <f t="shared" si="12"/>
        <v>0</v>
      </c>
      <c r="K53" s="149">
        <f t="shared" si="28"/>
        <v>0</v>
      </c>
      <c r="L53" s="140">
        <f t="shared" si="13"/>
        <v>0</v>
      </c>
      <c r="M53" s="158">
        <f t="shared" si="14"/>
        <v>0</v>
      </c>
      <c r="N53" s="74">
        <v>31</v>
      </c>
      <c r="O53" s="75">
        <f t="shared" si="2"/>
        <v>0</v>
      </c>
      <c r="P53" s="75">
        <f t="shared" si="15"/>
        <v>0</v>
      </c>
      <c r="Q53" s="116">
        <f t="shared" si="16"/>
        <v>0</v>
      </c>
      <c r="R53" s="75">
        <f t="shared" si="17"/>
        <v>0</v>
      </c>
      <c r="S53" s="76">
        <f t="shared" si="18"/>
        <v>0</v>
      </c>
      <c r="T53" s="78">
        <v>31</v>
      </c>
      <c r="U53" s="78">
        <f t="shared" si="3"/>
        <v>0</v>
      </c>
      <c r="V53" s="78">
        <f t="shared" si="19"/>
        <v>0</v>
      </c>
      <c r="W53" s="117">
        <f t="shared" si="20"/>
        <v>0</v>
      </c>
      <c r="X53" s="78">
        <f t="shared" si="21"/>
        <v>0</v>
      </c>
      <c r="Y53" s="78">
        <f t="shared" si="22"/>
        <v>0</v>
      </c>
      <c r="Z53" s="79">
        <v>31</v>
      </c>
      <c r="AA53" s="80">
        <f t="shared" si="4"/>
        <v>0</v>
      </c>
      <c r="AB53" s="80">
        <f t="shared" si="23"/>
        <v>0</v>
      </c>
      <c r="AC53" s="118">
        <f t="shared" si="24"/>
        <v>0</v>
      </c>
      <c r="AD53" s="80">
        <f t="shared" si="25"/>
        <v>0</v>
      </c>
      <c r="AE53" s="80">
        <f t="shared" si="26"/>
        <v>0</v>
      </c>
      <c r="AF53" s="552">
        <v>31</v>
      </c>
      <c r="AG53" s="553">
        <f t="shared" si="5"/>
        <v>0</v>
      </c>
      <c r="AH53" s="553">
        <f t="shared" si="29"/>
        <v>0</v>
      </c>
      <c r="AI53" s="564">
        <f t="shared" si="30"/>
        <v>0</v>
      </c>
      <c r="AJ53" s="553">
        <f t="shared" si="27"/>
        <v>0</v>
      </c>
      <c r="AK53" s="555">
        <f t="shared" si="7"/>
        <v>0</v>
      </c>
    </row>
    <row r="54" spans="2:40" x14ac:dyDescent="0.2">
      <c r="B54" s="16">
        <v>32</v>
      </c>
      <c r="C54" s="73">
        <f t="shared" si="0"/>
        <v>0</v>
      </c>
      <c r="D54" s="73">
        <f t="shared" si="8"/>
        <v>0</v>
      </c>
      <c r="E54" s="106">
        <f t="shared" si="9"/>
        <v>0</v>
      </c>
      <c r="F54" s="73">
        <f t="shared" si="10"/>
        <v>0</v>
      </c>
      <c r="G54" s="155">
        <f t="shared" si="11"/>
        <v>0</v>
      </c>
      <c r="H54" s="140">
        <v>32</v>
      </c>
      <c r="I54" s="140">
        <f t="shared" si="1"/>
        <v>0</v>
      </c>
      <c r="J54" s="140">
        <f t="shared" si="12"/>
        <v>0</v>
      </c>
      <c r="K54" s="149">
        <f t="shared" si="28"/>
        <v>0</v>
      </c>
      <c r="L54" s="140">
        <f t="shared" si="13"/>
        <v>0</v>
      </c>
      <c r="M54" s="158">
        <f t="shared" si="14"/>
        <v>0</v>
      </c>
      <c r="N54" s="74">
        <v>32</v>
      </c>
      <c r="O54" s="75">
        <f t="shared" si="2"/>
        <v>0</v>
      </c>
      <c r="P54" s="75">
        <f t="shared" si="15"/>
        <v>0</v>
      </c>
      <c r="Q54" s="116">
        <f t="shared" si="16"/>
        <v>0</v>
      </c>
      <c r="R54" s="75">
        <f t="shared" si="17"/>
        <v>0</v>
      </c>
      <c r="S54" s="76">
        <f t="shared" si="18"/>
        <v>0</v>
      </c>
      <c r="T54" s="78">
        <v>32</v>
      </c>
      <c r="U54" s="78">
        <f t="shared" si="3"/>
        <v>0</v>
      </c>
      <c r="V54" s="78">
        <f t="shared" si="19"/>
        <v>0</v>
      </c>
      <c r="W54" s="117">
        <f t="shared" si="20"/>
        <v>0</v>
      </c>
      <c r="X54" s="78">
        <f t="shared" si="21"/>
        <v>0</v>
      </c>
      <c r="Y54" s="78">
        <f t="shared" si="22"/>
        <v>0</v>
      </c>
      <c r="Z54" s="79">
        <v>32</v>
      </c>
      <c r="AA54" s="80">
        <f t="shared" si="4"/>
        <v>0</v>
      </c>
      <c r="AB54" s="80">
        <f t="shared" si="23"/>
        <v>0</v>
      </c>
      <c r="AC54" s="118">
        <f t="shared" si="24"/>
        <v>0</v>
      </c>
      <c r="AD54" s="80">
        <f t="shared" si="25"/>
        <v>0</v>
      </c>
      <c r="AE54" s="80">
        <f t="shared" si="26"/>
        <v>0</v>
      </c>
      <c r="AF54" s="552">
        <v>32</v>
      </c>
      <c r="AG54" s="553">
        <f t="shared" si="5"/>
        <v>0</v>
      </c>
      <c r="AH54" s="553">
        <f t="shared" si="29"/>
        <v>0</v>
      </c>
      <c r="AI54" s="564">
        <f t="shared" si="30"/>
        <v>0</v>
      </c>
      <c r="AJ54" s="553">
        <f t="shared" si="27"/>
        <v>0</v>
      </c>
      <c r="AK54" s="555">
        <f t="shared" si="7"/>
        <v>0</v>
      </c>
    </row>
    <row r="55" spans="2:40" x14ac:dyDescent="0.2">
      <c r="B55" s="16">
        <v>33</v>
      </c>
      <c r="C55" s="73">
        <f t="shared" si="0"/>
        <v>0</v>
      </c>
      <c r="D55" s="73">
        <f t="shared" si="8"/>
        <v>0</v>
      </c>
      <c r="E55" s="106">
        <f t="shared" si="9"/>
        <v>0</v>
      </c>
      <c r="F55" s="73">
        <f t="shared" si="10"/>
        <v>0</v>
      </c>
      <c r="G55" s="155">
        <f t="shared" si="11"/>
        <v>0</v>
      </c>
      <c r="H55" s="140">
        <v>33</v>
      </c>
      <c r="I55" s="140">
        <f t="shared" si="1"/>
        <v>0</v>
      </c>
      <c r="J55" s="140">
        <f t="shared" si="12"/>
        <v>0</v>
      </c>
      <c r="K55" s="149">
        <f t="shared" si="28"/>
        <v>0</v>
      </c>
      <c r="L55" s="140">
        <f t="shared" si="13"/>
        <v>0</v>
      </c>
      <c r="M55" s="158">
        <f t="shared" si="14"/>
        <v>0</v>
      </c>
      <c r="N55" s="74">
        <v>33</v>
      </c>
      <c r="O55" s="75">
        <f t="shared" si="2"/>
        <v>0</v>
      </c>
      <c r="P55" s="75">
        <f t="shared" si="15"/>
        <v>0</v>
      </c>
      <c r="Q55" s="116">
        <f t="shared" si="16"/>
        <v>0</v>
      </c>
      <c r="R55" s="75">
        <f t="shared" si="17"/>
        <v>0</v>
      </c>
      <c r="S55" s="76">
        <f t="shared" si="18"/>
        <v>0</v>
      </c>
      <c r="T55" s="78">
        <v>33</v>
      </c>
      <c r="U55" s="78">
        <f t="shared" si="3"/>
        <v>0</v>
      </c>
      <c r="V55" s="78">
        <f t="shared" si="19"/>
        <v>0</v>
      </c>
      <c r="W55" s="117">
        <f t="shared" si="20"/>
        <v>0</v>
      </c>
      <c r="X55" s="78">
        <f t="shared" si="21"/>
        <v>0</v>
      </c>
      <c r="Y55" s="78">
        <f t="shared" si="22"/>
        <v>0</v>
      </c>
      <c r="Z55" s="79">
        <v>33</v>
      </c>
      <c r="AA55" s="80">
        <f t="shared" si="4"/>
        <v>0</v>
      </c>
      <c r="AB55" s="80">
        <f t="shared" si="23"/>
        <v>0</v>
      </c>
      <c r="AC55" s="118">
        <f t="shared" si="24"/>
        <v>0</v>
      </c>
      <c r="AD55" s="80">
        <f t="shared" si="25"/>
        <v>0</v>
      </c>
      <c r="AE55" s="80">
        <f t="shared" si="26"/>
        <v>0</v>
      </c>
      <c r="AF55" s="552">
        <v>33</v>
      </c>
      <c r="AG55" s="553">
        <f t="shared" si="5"/>
        <v>0</v>
      </c>
      <c r="AH55" s="553">
        <f t="shared" si="29"/>
        <v>0</v>
      </c>
      <c r="AI55" s="564">
        <f t="shared" si="30"/>
        <v>0</v>
      </c>
      <c r="AJ55" s="553">
        <f t="shared" si="27"/>
        <v>0</v>
      </c>
      <c r="AK55" s="555">
        <f t="shared" si="7"/>
        <v>0</v>
      </c>
    </row>
    <row r="56" spans="2:40" x14ac:dyDescent="0.2">
      <c r="B56" s="16">
        <v>34</v>
      </c>
      <c r="C56" s="73">
        <f t="shared" si="0"/>
        <v>0</v>
      </c>
      <c r="D56" s="73">
        <f t="shared" si="8"/>
        <v>0</v>
      </c>
      <c r="E56" s="106">
        <f t="shared" si="9"/>
        <v>0</v>
      </c>
      <c r="F56" s="73">
        <f t="shared" si="10"/>
        <v>0</v>
      </c>
      <c r="G56" s="155">
        <f t="shared" si="11"/>
        <v>0</v>
      </c>
      <c r="H56" s="140">
        <v>34</v>
      </c>
      <c r="I56" s="140">
        <f t="shared" si="1"/>
        <v>0</v>
      </c>
      <c r="J56" s="140">
        <f t="shared" si="12"/>
        <v>0</v>
      </c>
      <c r="K56" s="149">
        <f t="shared" si="28"/>
        <v>0</v>
      </c>
      <c r="L56" s="140">
        <f t="shared" si="13"/>
        <v>0</v>
      </c>
      <c r="M56" s="158">
        <f t="shared" si="14"/>
        <v>0</v>
      </c>
      <c r="N56" s="74">
        <v>34</v>
      </c>
      <c r="O56" s="75">
        <f t="shared" si="2"/>
        <v>0</v>
      </c>
      <c r="P56" s="75">
        <f t="shared" si="15"/>
        <v>0</v>
      </c>
      <c r="Q56" s="116">
        <f t="shared" si="16"/>
        <v>0</v>
      </c>
      <c r="R56" s="75">
        <f t="shared" si="17"/>
        <v>0</v>
      </c>
      <c r="S56" s="76">
        <f t="shared" si="18"/>
        <v>0</v>
      </c>
      <c r="T56" s="78">
        <v>34</v>
      </c>
      <c r="U56" s="78">
        <f t="shared" si="3"/>
        <v>0</v>
      </c>
      <c r="V56" s="78">
        <f t="shared" si="19"/>
        <v>0</v>
      </c>
      <c r="W56" s="117">
        <f t="shared" si="20"/>
        <v>0</v>
      </c>
      <c r="X56" s="78">
        <f t="shared" si="21"/>
        <v>0</v>
      </c>
      <c r="Y56" s="78">
        <f t="shared" si="22"/>
        <v>0</v>
      </c>
      <c r="Z56" s="79">
        <v>34</v>
      </c>
      <c r="AA56" s="80">
        <f t="shared" si="4"/>
        <v>0</v>
      </c>
      <c r="AB56" s="80">
        <f t="shared" si="23"/>
        <v>0</v>
      </c>
      <c r="AC56" s="118">
        <f t="shared" si="24"/>
        <v>0</v>
      </c>
      <c r="AD56" s="80">
        <f t="shared" si="25"/>
        <v>0</v>
      </c>
      <c r="AE56" s="80">
        <f t="shared" si="26"/>
        <v>0</v>
      </c>
      <c r="AF56" s="552">
        <v>34</v>
      </c>
      <c r="AG56" s="553">
        <f t="shared" si="5"/>
        <v>0</v>
      </c>
      <c r="AH56" s="553">
        <f t="shared" si="29"/>
        <v>0</v>
      </c>
      <c r="AI56" s="564">
        <f t="shared" si="30"/>
        <v>0</v>
      </c>
      <c r="AJ56" s="553">
        <f t="shared" si="27"/>
        <v>0</v>
      </c>
      <c r="AK56" s="555">
        <f t="shared" si="7"/>
        <v>0</v>
      </c>
    </row>
    <row r="57" spans="2:40" x14ac:dyDescent="0.2">
      <c r="B57" s="16">
        <v>35</v>
      </c>
      <c r="C57" s="73">
        <f t="shared" si="0"/>
        <v>0</v>
      </c>
      <c r="D57" s="73">
        <f t="shared" si="8"/>
        <v>0</v>
      </c>
      <c r="E57" s="106">
        <f t="shared" si="9"/>
        <v>0</v>
      </c>
      <c r="F57" s="73">
        <f t="shared" si="10"/>
        <v>0</v>
      </c>
      <c r="G57" s="155">
        <f t="shared" si="11"/>
        <v>0</v>
      </c>
      <c r="H57" s="140">
        <v>35</v>
      </c>
      <c r="I57" s="140">
        <f t="shared" si="1"/>
        <v>0</v>
      </c>
      <c r="J57" s="140">
        <f t="shared" si="12"/>
        <v>0</v>
      </c>
      <c r="K57" s="149">
        <f t="shared" si="28"/>
        <v>0</v>
      </c>
      <c r="L57" s="140">
        <f t="shared" si="13"/>
        <v>0</v>
      </c>
      <c r="M57" s="158">
        <f t="shared" si="14"/>
        <v>0</v>
      </c>
      <c r="N57" s="74">
        <v>35</v>
      </c>
      <c r="O57" s="75">
        <f t="shared" si="2"/>
        <v>0</v>
      </c>
      <c r="P57" s="75">
        <f t="shared" si="15"/>
        <v>0</v>
      </c>
      <c r="Q57" s="116">
        <f t="shared" si="16"/>
        <v>0</v>
      </c>
      <c r="R57" s="75">
        <f t="shared" si="17"/>
        <v>0</v>
      </c>
      <c r="S57" s="76">
        <f t="shared" si="18"/>
        <v>0</v>
      </c>
      <c r="T57" s="78">
        <v>35</v>
      </c>
      <c r="U57" s="78">
        <f t="shared" si="3"/>
        <v>0</v>
      </c>
      <c r="V57" s="78">
        <f t="shared" si="19"/>
        <v>0</v>
      </c>
      <c r="W57" s="117">
        <f t="shared" si="20"/>
        <v>0</v>
      </c>
      <c r="X57" s="78">
        <f t="shared" si="21"/>
        <v>0</v>
      </c>
      <c r="Y57" s="78">
        <f t="shared" si="22"/>
        <v>0</v>
      </c>
      <c r="Z57" s="79">
        <v>35</v>
      </c>
      <c r="AA57" s="80">
        <f t="shared" si="4"/>
        <v>0</v>
      </c>
      <c r="AB57" s="80">
        <f t="shared" si="23"/>
        <v>0</v>
      </c>
      <c r="AC57" s="118">
        <f t="shared" si="24"/>
        <v>0</v>
      </c>
      <c r="AD57" s="80">
        <f t="shared" si="25"/>
        <v>0</v>
      </c>
      <c r="AE57" s="80">
        <f t="shared" si="26"/>
        <v>0</v>
      </c>
      <c r="AF57" s="552">
        <v>35</v>
      </c>
      <c r="AG57" s="553">
        <f t="shared" si="5"/>
        <v>0</v>
      </c>
      <c r="AH57" s="553">
        <f t="shared" si="29"/>
        <v>0</v>
      </c>
      <c r="AI57" s="564">
        <f t="shared" si="30"/>
        <v>0</v>
      </c>
      <c r="AJ57" s="553">
        <f t="shared" si="27"/>
        <v>0</v>
      </c>
      <c r="AK57" s="555">
        <f t="shared" si="7"/>
        <v>0</v>
      </c>
    </row>
    <row r="58" spans="2:40" ht="16" thickBot="1" x14ac:dyDescent="0.25">
      <c r="B58" s="17"/>
      <c r="C58" s="88"/>
      <c r="D58" s="88"/>
      <c r="E58" s="88"/>
      <c r="F58" s="88"/>
      <c r="G58" s="89"/>
      <c r="H58" s="144"/>
      <c r="I58" s="144"/>
      <c r="J58" s="144"/>
      <c r="K58" s="144"/>
      <c r="L58" s="144"/>
      <c r="M58" s="144"/>
      <c r="N58" s="90"/>
      <c r="O58" s="91"/>
      <c r="P58" s="91"/>
      <c r="Q58" s="91"/>
      <c r="R58" s="91"/>
      <c r="S58" s="92"/>
      <c r="T58" s="94"/>
      <c r="U58" s="94"/>
      <c r="V58" s="94"/>
      <c r="W58" s="94"/>
      <c r="X58" s="94"/>
      <c r="Y58" s="94"/>
      <c r="Z58" s="96"/>
      <c r="AA58" s="97"/>
      <c r="AB58" s="97"/>
      <c r="AC58" s="97"/>
      <c r="AD58" s="97"/>
      <c r="AE58" s="97"/>
      <c r="AF58" s="561"/>
      <c r="AG58" s="562"/>
      <c r="AH58" s="562"/>
      <c r="AI58" s="562"/>
      <c r="AJ58" s="562"/>
      <c r="AK58" s="563"/>
    </row>
    <row r="59" spans="2:40" x14ac:dyDescent="0.2">
      <c r="B59"/>
      <c r="C59" t="s">
        <v>676</v>
      </c>
      <c r="D59" s="72">
        <f>SUMPRODUCT(C29:C57,E29:E57)</f>
        <v>1048.1199263301871</v>
      </c>
      <c r="E59" t="s">
        <v>534</v>
      </c>
      <c r="F59" s="4">
        <f>D59/35.315*(38/100/(1-50/100))*1.1023</f>
        <v>24.863666205387563</v>
      </c>
      <c r="G59" t="s">
        <v>252</v>
      </c>
      <c r="I59" t="s">
        <v>533</v>
      </c>
      <c r="J59" s="72">
        <f>SUMPRODUCT(I29:I57,K29:K57)</f>
        <v>0</v>
      </c>
      <c r="K59" t="s">
        <v>534</v>
      </c>
      <c r="L59" s="4">
        <f>J59/35.315*(45/100/(1-50/100))*1.1023</f>
        <v>0</v>
      </c>
      <c r="M59" t="s">
        <v>535</v>
      </c>
      <c r="O59" t="s">
        <v>533</v>
      </c>
      <c r="P59" s="72">
        <f>SUMPRODUCT(O29:O57,Q29:Q57)</f>
        <v>0</v>
      </c>
      <c r="Q59" t="s">
        <v>534</v>
      </c>
      <c r="R59" s="4">
        <f>P59/35.315*(35/100/(1-50/100))*1.1023</f>
        <v>0</v>
      </c>
      <c r="S59" t="s">
        <v>535</v>
      </c>
      <c r="U59" t="s">
        <v>533</v>
      </c>
      <c r="V59" s="72">
        <f>SUMPRODUCT(U29:U57,W29:W57)</f>
        <v>0</v>
      </c>
      <c r="W59" t="s">
        <v>534</v>
      </c>
      <c r="X59" s="4">
        <f>V59/35.315*(37/100/(1-50/100))*1.1023</f>
        <v>0</v>
      </c>
      <c r="Y59" t="s">
        <v>535</v>
      </c>
      <c r="AA59" t="s">
        <v>533</v>
      </c>
      <c r="AB59" s="72">
        <f>SUMPRODUCT(AA29:AA57,AC29:AC57)</f>
        <v>0</v>
      </c>
      <c r="AC59" t="s">
        <v>534</v>
      </c>
      <c r="AD59" s="4">
        <f>AB59/35.315*(34/100/(1-50/100))*1.1023</f>
        <v>0</v>
      </c>
      <c r="AE59" t="s">
        <v>535</v>
      </c>
      <c r="AG59" t="s">
        <v>533</v>
      </c>
      <c r="AH59" s="72">
        <f>SUMPRODUCT(AG29:AG57,AI29:AI57)</f>
        <v>0</v>
      </c>
      <c r="AI59" t="s">
        <v>534</v>
      </c>
      <c r="AJ59" s="4">
        <f>AH59/35.315*(36/100/(1-50/100))*1.1023</f>
        <v>0</v>
      </c>
      <c r="AK59" t="s">
        <v>535</v>
      </c>
    </row>
    <row r="60" spans="2:40" x14ac:dyDescent="0.2">
      <c r="B60"/>
      <c r="C60" t="s">
        <v>120</v>
      </c>
      <c r="D60" s="156">
        <f>SUM(G25:G57)</f>
        <v>17.939971807286316</v>
      </c>
      <c r="E60" t="s">
        <v>535</v>
      </c>
      <c r="F60" s="157">
        <f>D60*35.315/(38/100/(1-50/100))/1.1023</f>
        <v>756.25379514402448</v>
      </c>
      <c r="G60" t="s">
        <v>534</v>
      </c>
      <c r="I60" t="s">
        <v>120</v>
      </c>
      <c r="J60" s="156">
        <f>SUM(M25:M57)</f>
        <v>0</v>
      </c>
      <c r="K60" t="s">
        <v>535</v>
      </c>
      <c r="L60" s="157">
        <f>J60*35.315/(45/100/(1-50/100))/1.1023</f>
        <v>0</v>
      </c>
      <c r="M60" t="s">
        <v>534</v>
      </c>
      <c r="O60" t="s">
        <v>120</v>
      </c>
      <c r="P60" s="156">
        <f>SUM(S25:S57)</f>
        <v>0</v>
      </c>
      <c r="Q60" t="s">
        <v>535</v>
      </c>
      <c r="R60" s="157">
        <f>P60*35.315/(35/100/(1-50/100))/1.1023</f>
        <v>0</v>
      </c>
      <c r="S60" t="s">
        <v>534</v>
      </c>
      <c r="U60" t="s">
        <v>120</v>
      </c>
      <c r="V60" s="156">
        <f>SUM(Y25:Y57)</f>
        <v>0</v>
      </c>
      <c r="W60" t="s">
        <v>535</v>
      </c>
      <c r="X60" s="157">
        <f>V60*35.315/(37/100/(1-50/100))/1.1023</f>
        <v>0</v>
      </c>
      <c r="Y60" t="s">
        <v>534</v>
      </c>
      <c r="AA60" t="s">
        <v>120</v>
      </c>
      <c r="AB60" s="156">
        <f>SUM(AE25:AE57)</f>
        <v>0</v>
      </c>
      <c r="AC60" t="s">
        <v>535</v>
      </c>
      <c r="AD60" s="157">
        <f>AB60*35.315/(34/100/(1-50/100))/1.1023</f>
        <v>0</v>
      </c>
      <c r="AE60" t="s">
        <v>534</v>
      </c>
      <c r="AG60" t="s">
        <v>120</v>
      </c>
      <c r="AH60" s="156">
        <f>SUM(AK25:AK57)</f>
        <v>0</v>
      </c>
      <c r="AI60" t="s">
        <v>535</v>
      </c>
      <c r="AJ60" s="157">
        <f>AH60*35.315/(36/100/(1-50/100))/1.1023</f>
        <v>0</v>
      </c>
      <c r="AK60" t="s">
        <v>534</v>
      </c>
    </row>
    <row r="63" spans="2:40" ht="16" thickBot="1" x14ac:dyDescent="0.25"/>
    <row r="64" spans="2:40" ht="25" thickBot="1" x14ac:dyDescent="0.25">
      <c r="B64" s="1068" t="s">
        <v>674</v>
      </c>
      <c r="C64" s="1069"/>
      <c r="D64" s="1069"/>
      <c r="E64" s="1069"/>
      <c r="F64" s="1069"/>
      <c r="G64" s="1069"/>
      <c r="H64" s="1069"/>
      <c r="I64" s="1069"/>
      <c r="J64" s="1069"/>
      <c r="K64" s="1069"/>
      <c r="L64" s="1069"/>
      <c r="M64" s="1069"/>
      <c r="N64" s="1069"/>
      <c r="O64" s="1069"/>
      <c r="P64" s="1069"/>
      <c r="Q64" s="1069"/>
      <c r="R64" s="1069"/>
      <c r="S64" s="1069"/>
      <c r="T64" s="1069"/>
      <c r="U64" s="1069"/>
      <c r="V64" s="1069"/>
      <c r="W64" s="1069"/>
      <c r="X64" s="1069"/>
      <c r="Y64" s="1069"/>
      <c r="Z64" s="1069"/>
      <c r="AA64" s="1069"/>
      <c r="AB64" s="1069"/>
      <c r="AC64" s="1069"/>
      <c r="AD64" s="1069"/>
      <c r="AE64" s="1069"/>
      <c r="AF64" s="1069"/>
      <c r="AG64" s="1069"/>
      <c r="AH64" s="1069"/>
      <c r="AI64" s="1069"/>
      <c r="AJ64" s="1069"/>
      <c r="AK64" s="1070"/>
      <c r="AL64" t="s">
        <v>536</v>
      </c>
      <c r="AN64">
        <v>16</v>
      </c>
    </row>
    <row r="65" spans="2:47" x14ac:dyDescent="0.2">
      <c r="B65" s="1071" t="s">
        <v>521</v>
      </c>
      <c r="C65" s="1072"/>
      <c r="D65" s="1072"/>
      <c r="E65" s="1072"/>
      <c r="F65" s="1072"/>
      <c r="G65" s="1073"/>
      <c r="H65" s="1080" t="s">
        <v>90</v>
      </c>
      <c r="I65" s="1080"/>
      <c r="J65" s="1080"/>
      <c r="K65" s="1080"/>
      <c r="L65" s="1080"/>
      <c r="M65" s="1082"/>
      <c r="N65" s="1077" t="s">
        <v>522</v>
      </c>
      <c r="O65" s="1078"/>
      <c r="P65" s="1078"/>
      <c r="Q65" s="1078"/>
      <c r="R65" s="1078"/>
      <c r="S65" s="1079"/>
      <c r="T65" s="1081" t="s">
        <v>92</v>
      </c>
      <c r="U65" s="1076"/>
      <c r="V65" s="1076"/>
      <c r="W65" s="1076"/>
      <c r="X65" s="1076"/>
      <c r="Y65" s="1076"/>
      <c r="Z65" s="1074" t="s">
        <v>93</v>
      </c>
      <c r="AA65" s="1075"/>
      <c r="AB65" s="1075"/>
      <c r="AC65" s="1075"/>
      <c r="AD65" s="1075"/>
      <c r="AE65" s="1075"/>
      <c r="AF65" s="1062" t="s">
        <v>523</v>
      </c>
      <c r="AG65" s="1063"/>
      <c r="AH65" s="1063"/>
      <c r="AI65" s="1063"/>
      <c r="AJ65" s="1063"/>
      <c r="AK65" s="1064"/>
      <c r="AL65" t="s">
        <v>537</v>
      </c>
      <c r="AM65">
        <v>40</v>
      </c>
      <c r="AN65" t="s">
        <v>538</v>
      </c>
      <c r="AO65">
        <v>8</v>
      </c>
      <c r="AP65" t="s">
        <v>539</v>
      </c>
      <c r="AQ65" t="s">
        <v>540</v>
      </c>
    </row>
    <row r="66" spans="2:47" x14ac:dyDescent="0.2">
      <c r="B66" s="16" t="s">
        <v>287</v>
      </c>
      <c r="C66" s="66" t="s">
        <v>524</v>
      </c>
      <c r="D66" s="66" t="s">
        <v>525</v>
      </c>
      <c r="E66" s="66" t="s">
        <v>526</v>
      </c>
      <c r="F66" s="66" t="s">
        <v>527</v>
      </c>
      <c r="G66" s="67" t="s">
        <v>120</v>
      </c>
      <c r="H66" s="134" t="s">
        <v>287</v>
      </c>
      <c r="I66" s="134" t="s">
        <v>524</v>
      </c>
      <c r="J66" s="134" t="s">
        <v>525</v>
      </c>
      <c r="K66" s="134" t="s">
        <v>526</v>
      </c>
      <c r="L66" s="134" t="s">
        <v>527</v>
      </c>
      <c r="M66" s="135" t="s">
        <v>120</v>
      </c>
      <c r="N66" s="19" t="s">
        <v>287</v>
      </c>
      <c r="O66" s="213" t="s">
        <v>524</v>
      </c>
      <c r="P66" s="213" t="s">
        <v>525</v>
      </c>
      <c r="Q66" s="213" t="s">
        <v>526</v>
      </c>
      <c r="R66" s="213" t="s">
        <v>527</v>
      </c>
      <c r="S66" s="68" t="s">
        <v>120</v>
      </c>
      <c r="T66" s="22" t="s">
        <v>287</v>
      </c>
      <c r="U66" s="69" t="s">
        <v>524</v>
      </c>
      <c r="V66" s="69" t="s">
        <v>525</v>
      </c>
      <c r="W66" s="69" t="s">
        <v>526</v>
      </c>
      <c r="X66" s="69" t="s">
        <v>527</v>
      </c>
      <c r="Y66" s="69" t="s">
        <v>120</v>
      </c>
      <c r="Z66" s="24" t="s">
        <v>287</v>
      </c>
      <c r="AA66" s="71" t="s">
        <v>524</v>
      </c>
      <c r="AB66" s="71" t="s">
        <v>525</v>
      </c>
      <c r="AC66" s="71" t="s">
        <v>526</v>
      </c>
      <c r="AD66" s="71" t="s">
        <v>527</v>
      </c>
      <c r="AE66" s="71" t="s">
        <v>120</v>
      </c>
      <c r="AF66" s="546" t="s">
        <v>287</v>
      </c>
      <c r="AG66" s="547" t="s">
        <v>524</v>
      </c>
      <c r="AH66" s="547" t="s">
        <v>525</v>
      </c>
      <c r="AI66" s="547" t="s">
        <v>526</v>
      </c>
      <c r="AJ66" s="547" t="s">
        <v>527</v>
      </c>
      <c r="AK66" s="548" t="s">
        <v>120</v>
      </c>
      <c r="AL66" s="71" t="s">
        <v>541</v>
      </c>
      <c r="AM66">
        <v>16</v>
      </c>
      <c r="AN66" s="71" t="s">
        <v>538</v>
      </c>
      <c r="AO66">
        <v>8</v>
      </c>
    </row>
    <row r="67" spans="2:47" x14ac:dyDescent="0.2">
      <c r="B67" s="18" t="s">
        <v>528</v>
      </c>
      <c r="C67" s="60" t="s">
        <v>529</v>
      </c>
      <c r="D67" s="60" t="s">
        <v>530</v>
      </c>
      <c r="E67" s="60" t="s">
        <v>542</v>
      </c>
      <c r="F67" s="60" t="s">
        <v>543</v>
      </c>
      <c r="G67" s="61" t="s">
        <v>532</v>
      </c>
      <c r="H67" s="137" t="s">
        <v>528</v>
      </c>
      <c r="I67" s="137" t="s">
        <v>529</v>
      </c>
      <c r="J67" s="137" t="s">
        <v>530</v>
      </c>
      <c r="K67" s="137" t="s">
        <v>531</v>
      </c>
      <c r="L67" s="137" t="s">
        <v>124</v>
      </c>
      <c r="M67" s="138" t="s">
        <v>532</v>
      </c>
      <c r="N67" s="21" t="s">
        <v>528</v>
      </c>
      <c r="O67" s="131" t="s">
        <v>529</v>
      </c>
      <c r="P67" s="131" t="s">
        <v>530</v>
      </c>
      <c r="Q67" s="131" t="s">
        <v>531</v>
      </c>
      <c r="R67" s="131" t="s">
        <v>124</v>
      </c>
      <c r="S67" s="62" t="s">
        <v>532</v>
      </c>
      <c r="T67" s="23" t="s">
        <v>528</v>
      </c>
      <c r="U67" s="63" t="s">
        <v>529</v>
      </c>
      <c r="V67" s="63" t="s">
        <v>530</v>
      </c>
      <c r="W67" s="63" t="s">
        <v>531</v>
      </c>
      <c r="X67" s="63" t="s">
        <v>124</v>
      </c>
      <c r="Y67" s="63" t="s">
        <v>532</v>
      </c>
      <c r="Z67" s="25" t="s">
        <v>528</v>
      </c>
      <c r="AA67" s="65" t="s">
        <v>529</v>
      </c>
      <c r="AB67" s="65" t="s">
        <v>530</v>
      </c>
      <c r="AC67" s="65" t="s">
        <v>531</v>
      </c>
      <c r="AD67" s="65" t="s">
        <v>124</v>
      </c>
      <c r="AE67" s="65" t="s">
        <v>532</v>
      </c>
      <c r="AF67" s="549" t="s">
        <v>528</v>
      </c>
      <c r="AG67" s="550" t="s">
        <v>529</v>
      </c>
      <c r="AH67" s="550" t="s">
        <v>530</v>
      </c>
      <c r="AI67" s="550" t="s">
        <v>531</v>
      </c>
      <c r="AJ67" s="550" t="s">
        <v>124</v>
      </c>
      <c r="AK67" s="551" t="s">
        <v>532</v>
      </c>
      <c r="AL67" s="71" t="s">
        <v>544</v>
      </c>
      <c r="AM67" s="71" t="s">
        <v>545</v>
      </c>
      <c r="AN67" s="71" t="s">
        <v>544</v>
      </c>
      <c r="AO67" s="71" t="s">
        <v>545</v>
      </c>
      <c r="AP67" s="71" t="s">
        <v>544</v>
      </c>
      <c r="AQ67" s="71" t="s">
        <v>545</v>
      </c>
      <c r="AR67" s="71" t="s">
        <v>544</v>
      </c>
      <c r="AS67" s="71" t="s">
        <v>545</v>
      </c>
      <c r="AT67" s="71" t="s">
        <v>544</v>
      </c>
      <c r="AU67" s="71" t="s">
        <v>545</v>
      </c>
    </row>
    <row r="68" spans="2:47" x14ac:dyDescent="0.2">
      <c r="B68" s="16">
        <v>3</v>
      </c>
      <c r="C68" s="73">
        <f>Input!H7</f>
        <v>75.7</v>
      </c>
      <c r="D68" s="98">
        <f>3.281*(1.3+EXP(4.5503-11.4582*(B68*2.54)^-0.5994))</f>
        <v>14.712327270809485</v>
      </c>
      <c r="E68" s="98">
        <v>0</v>
      </c>
      <c r="F68" s="98">
        <f>E68*C68</f>
        <v>0</v>
      </c>
      <c r="G68" s="155">
        <f>C68*((EXP(-4.2612+2.0967*LN(B68*2.54))/((100-50)/100)/1000)+(EXP(-5.3855+2.7185*LN(B68*2.54))/((100-50)/100)/1000)+(EXP(-2.5766+1.444*LN(B68*2.54))/((100-50)/100)/1000)+(EXP(-4.2063+2.2312*LN(B68*2.54))/((100-50)/100)/1000)+(EXP(-4.4907+2.7587*LN(B68*2.54))/((100-50)/100)/1000))</f>
        <v>1.2099549966230643</v>
      </c>
      <c r="H68" s="140">
        <v>3</v>
      </c>
      <c r="I68" s="140">
        <f>Input!J7</f>
        <v>0</v>
      </c>
      <c r="J68" s="146">
        <f>3.281*(1.3+EXP(5.7567-6.7792*(H68*2.54)^-0.2795))</f>
        <v>26.503992422438134</v>
      </c>
      <c r="K68" s="146">
        <v>0</v>
      </c>
      <c r="L68" s="146">
        <f>K68*I68</f>
        <v>0</v>
      </c>
      <c r="M68" s="158">
        <f>I68*((EXP(-2.8462+1.7009*LN(H68*2.54))/((100-50)/100)/1000)+(EXP(-3.6941+2.1382*LN(H68*2.54))/((100-50)/100)/1000)+(EXP(-3.529+1.7503*LN(H68*2.54))/((100-50)/100)/1000)+(EXP(-4.3103+2.43*LN(H68*2.54))/((100-50)/100)/1000)+(EXP(-3.0396+2.5951*LN(H68*2.54))/((100-50)/100)/1000))</f>
        <v>0</v>
      </c>
      <c r="N68" s="74">
        <v>3</v>
      </c>
      <c r="O68" s="75">
        <f>Input!L7</f>
        <v>0</v>
      </c>
      <c r="P68" s="99">
        <f>3.281*(1.3+EXP(14.7373-15.4469*(N68*2.54)^-0.0728))</f>
        <v>17.748390122389033</v>
      </c>
      <c r="Q68" s="99">
        <v>0</v>
      </c>
      <c r="R68" s="99">
        <f>Q68*O68</f>
        <v>0</v>
      </c>
      <c r="S68" s="160">
        <f>O68*((EXP(-2.617+1.7824*LN(N68*2.54))/((100-50)/100)/1000)+(EXP(-3.2661+2.0877*LN(N68*2.54))/((100-50)/100)/1000)+(EXP(-4.1934+2.1101*LN(N68*2.54))/((100-50)/100)/1000)+(EXP(-2.0927+2.1863*LN(N68*2.54))/((100-50)/100)/1000))</f>
        <v>0</v>
      </c>
      <c r="T68" s="77">
        <v>3</v>
      </c>
      <c r="U68" s="78">
        <f>Input!N7</f>
        <v>0</v>
      </c>
      <c r="V68" s="100">
        <f>3.281*(1.3+EXP(5.3528-7.3394*(T68*2.54)^-0.3505))</f>
        <v>23.162573642669084</v>
      </c>
      <c r="W68" s="100">
        <v>0</v>
      </c>
      <c r="X68" s="100">
        <f>W68*U68</f>
        <v>0</v>
      </c>
      <c r="Y68" s="162">
        <f>U68*((EXP(-3.4662+1.9278*LN(T68*2.54))/((100-50)/100)/1000)+(EXP(-4.8287+2.5585*LN(T68*2.54))/((100-50)/100)/1000)+(EXP(-6.1918+2.8796*LN(T68*2.54))/((100-50)/100)/1000)+(EXP(-3.7389+2.6825*LN(T68*2.54))/((100-50)/100)/1000))</f>
        <v>0</v>
      </c>
      <c r="Z68" s="79">
        <v>3</v>
      </c>
      <c r="AA68" s="80">
        <f>Input!P7</f>
        <v>0</v>
      </c>
      <c r="AB68" s="101">
        <f>3.281*(1.3+EXP(4.893-7.9038*(Z68*2.54)^-0.4113))</f>
        <v>18.458697076655262</v>
      </c>
      <c r="AC68" s="101">
        <v>0</v>
      </c>
      <c r="AD68" s="101">
        <f>AC68*AA68</f>
        <v>0</v>
      </c>
      <c r="AE68" s="426">
        <f>AA68*((EXP(-4.023+2.0327*LN(Z68*2.54))/((100-50)/100)/1000)+(EXP(-7.637+3.3648*LN(Z68*2.54))/((100-50)/100)/1000)+(EXP(-5.295+2.6184*LN(Z68*2.54))/((100-50)/100)/1000)+(EXP(-3.984+2.6667*LN(Z68*2.54))/((100-50)/100)/1000))</f>
        <v>0</v>
      </c>
      <c r="AF68" s="552">
        <v>3</v>
      </c>
      <c r="AG68" s="553">
        <f>Input!R7</f>
        <v>0</v>
      </c>
      <c r="AH68" s="567">
        <f>3.281*(1.37+50.2*(1-EXP(-0.0118*(AF68*2.54)^1.1535)))</f>
        <v>23.529100953554984</v>
      </c>
      <c r="AI68" s="568"/>
      <c r="AJ68" s="567"/>
      <c r="AK68" s="554">
        <f>((0.03088*(AF68*2.54)^1.10021*(AH68/3.281)^1.09925)+(0.01613*(AF68*2.54)^1.90578*(AH68/3.281)^0.70112)+(0.03886*(AF68*2.54)^1.53515*(AH68/3.281)^0.31776))/907.2*AG68</f>
        <v>0</v>
      </c>
    </row>
    <row r="69" spans="2:47" x14ac:dyDescent="0.2">
      <c r="B69" s="16">
        <v>4</v>
      </c>
      <c r="C69" s="73">
        <f>Input!H8</f>
        <v>0</v>
      </c>
      <c r="D69" s="98">
        <f>3.281*(1.3+EXP(4.5503-11.4582*(B69*2.54)^-0.5994))</f>
        <v>22.143669572433836</v>
      </c>
      <c r="E69" s="98">
        <v>0</v>
      </c>
      <c r="F69" s="98">
        <f t="shared" ref="F69:F100" si="31">E69*C69</f>
        <v>0</v>
      </c>
      <c r="G69" s="155">
        <f>C69*((EXP(-4.2612+2.0967*LN(B69*2.54))/((100-50)/100)/1000)+(EXP(-5.3855+2.7185*LN(B69*2.54))/((100-50)/100)/1000)+(EXP(-2.5766+1.444*LN(B69*2.54))/((100-50)/100)/1000)+(EXP(-4.2063+2.2312*LN(B69*2.54))/((100-50)/100)/1000)+(EXP(-4.4907+2.7587*LN(B69*2.54))/((100-50)/100)/1000))</f>
        <v>0</v>
      </c>
      <c r="H69" s="140">
        <v>4</v>
      </c>
      <c r="I69" s="140">
        <f>Input!J8</f>
        <v>0</v>
      </c>
      <c r="J69" s="146">
        <f>3.281*(1.3+EXP(5.7567-6.7792*(H69*2.54)^-0.2795))</f>
        <v>34.191750702403688</v>
      </c>
      <c r="K69" s="146">
        <v>0</v>
      </c>
      <c r="L69" s="146">
        <f t="shared" ref="L69:L100" si="32">K69*I69</f>
        <v>0</v>
      </c>
      <c r="M69" s="158">
        <f>I69*((EXP(-2.8462+1.7009*LN(H69*2.54))/((100-50)/100)/1000)+(EXP(-3.6941+2.1382*LN(H69*2.54))/((100-50)/100)/1000)+(EXP(-3.529+1.7503*LN(H69*2.54))/((100-50)/100)/1000)+(EXP(-4.3103+2.43*LN(H69*2.54))/((100-50)/100)/1000)+(EXP(-3.0396+2.5951*LN(H69*2.54))/((100-50)/100)/1000))</f>
        <v>0</v>
      </c>
      <c r="N69" s="74">
        <v>4</v>
      </c>
      <c r="O69" s="75">
        <f>Input!L8</f>
        <v>0</v>
      </c>
      <c r="P69" s="99">
        <f>3.281*(1.3+EXP(14.7373-15.4469*(N69*2.54)^-0.0728))</f>
        <v>22.03656272765819</v>
      </c>
      <c r="Q69" s="99">
        <v>0</v>
      </c>
      <c r="R69" s="99">
        <f t="shared" ref="R69:R100" si="33">Q69*O69</f>
        <v>0</v>
      </c>
      <c r="S69" s="160">
        <f>O69*((EXP(-2.617+1.7824*LN(N69*2.54))/((100-50)/100)/1000)+(EXP(-3.2661+2.0877*LN(N69*2.54))/((100-50)/100)/1000)+(EXP(-4.1934+2.1101*LN(N69*2.54))/((100-50)/100)/1000)+(EXP(-2.0927+2.1863*LN(N69*2.54))/((100-50)/100)/1000))</f>
        <v>0</v>
      </c>
      <c r="T69" s="77">
        <v>4</v>
      </c>
      <c r="U69" s="78">
        <f>Input!N8</f>
        <v>0</v>
      </c>
      <c r="V69" s="100">
        <f>3.281*(1.3+EXP(5.3528-7.3394*(T69*2.54)^-0.3505))</f>
        <v>30.960906851702745</v>
      </c>
      <c r="W69" s="100">
        <v>0</v>
      </c>
      <c r="X69" s="100">
        <f t="shared" ref="X69:X100" si="34">W69*U69</f>
        <v>0</v>
      </c>
      <c r="Y69" s="162">
        <f>U69*((EXP(-3.4662+1.9278*LN(T69*2.54))/((100-50)/100)/1000)+(EXP(-4.8287+2.5585*LN(T69*2.54))/((100-50)/100)/1000)+(EXP(-6.1918+2.8796*LN(T69*2.54))/((100-50)/100)/1000)+(EXP(-3.7389+2.6825*LN(T69*2.54))/((100-50)/100)/1000))</f>
        <v>0</v>
      </c>
      <c r="Z69" s="79">
        <v>4</v>
      </c>
      <c r="AA69" s="80">
        <f>Input!P8</f>
        <v>0</v>
      </c>
      <c r="AB69" s="101">
        <f>3.281*(1.3+EXP(4.893-7.9038*(Z69*2.54)^-0.4113))</f>
        <v>25.073643171835425</v>
      </c>
      <c r="AC69" s="101">
        <v>0</v>
      </c>
      <c r="AD69" s="101">
        <f t="shared" ref="AD69:AD100" si="35">AC69*AA69</f>
        <v>0</v>
      </c>
      <c r="AE69" s="80">
        <f>AA69*((EXP(-4.023+2.0327*LN(Z69*2.54))/((100-50)/100)/1000)+(EXP(-7.637+3.3648*LN(Z69*2.54))/((100-50)/100)/1000)+(EXP(-5.295+2.6184*LN(Z69*2.54))/((100-50)/100)/1000)+(EXP(-3.984+2.6667*LN(Z69*2.54))/((100-50)/100)/1000))</f>
        <v>0</v>
      </c>
      <c r="AF69" s="552">
        <v>4</v>
      </c>
      <c r="AG69" s="553">
        <f>Input!R8</f>
        <v>0</v>
      </c>
      <c r="AH69" s="567">
        <f>3.281*(1.37+50.2*(1-EXP(-0.0118*(AF69*2.54)^1.1535)))</f>
        <v>30.401700337024163</v>
      </c>
      <c r="AI69" s="568"/>
      <c r="AJ69" s="567"/>
      <c r="AK69" s="555">
        <f t="shared" ref="AK69:AK71" si="36">((0.03088*(AF69*2.54)^1.10021*(AH69/3.281)^1.09925)+(0.01613*(AF69*2.54)^1.90578*(AH69/3.281)^0.70112)+(0.03886*(AF69*2.54)^1.53515*(AH69/3.281)^0.31776))/907.2*AG69</f>
        <v>0</v>
      </c>
    </row>
    <row r="70" spans="2:47" x14ac:dyDescent="0.2">
      <c r="B70" s="16">
        <v>5</v>
      </c>
      <c r="C70" s="73">
        <f>Input!H9</f>
        <v>0</v>
      </c>
      <c r="D70" s="98">
        <f>3.281*(1.3+EXP(4.5503-11.4582*(B70*2.54)^-0.5994))</f>
        <v>29.824575657206786</v>
      </c>
      <c r="E70" s="98">
        <v>0</v>
      </c>
      <c r="F70" s="98">
        <f t="shared" si="31"/>
        <v>0</v>
      </c>
      <c r="G70" s="155">
        <f>C70*((EXP(-4.2612+2.0967*LN(B70*2.54))/((100-50)/100)/1000)+(EXP(-5.3855+2.7185*LN(B70*2.54))/((100-50)/100)/1000)+(EXP(-2.5766+1.444*LN(B70*2.54))/((100-50)/100)/1000)+(EXP(-4.2063+2.2312*LN(B70*2.54))/((100-50)/100)/1000)+(EXP(-4.4907+2.7587*LN(B70*2.54))/((100-50)/100)/1000))</f>
        <v>0</v>
      </c>
      <c r="H70" s="140">
        <v>5</v>
      </c>
      <c r="I70" s="140">
        <f>Input!J9</f>
        <v>0</v>
      </c>
      <c r="J70" s="146">
        <f>3.281*(1.3+EXP(5.7567-6.7792*(H70*2.54)^-0.2795))</f>
        <v>41.34808034366398</v>
      </c>
      <c r="K70" s="146">
        <v>0</v>
      </c>
      <c r="L70" s="146">
        <f t="shared" si="32"/>
        <v>0</v>
      </c>
      <c r="M70" s="158">
        <f>I70*((EXP(-2.8462+1.7009*LN(H70*2.54))/((100-50)/100)/1000)+(EXP(-3.6941+2.1382*LN(H70*2.54))/((100-50)/100)/1000)+(EXP(-3.529+1.7503*LN(H70*2.54))/((100-50)/100)/1000)+(EXP(-4.3103+2.43*LN(H70*2.54))/((100-50)/100)/1000)+(EXP(-3.0396+2.5951*LN(H70*2.54))/((100-50)/100)/1000))</f>
        <v>0</v>
      </c>
      <c r="N70" s="74">
        <v>5</v>
      </c>
      <c r="O70" s="75">
        <f>Input!L9</f>
        <v>0</v>
      </c>
      <c r="P70" s="99">
        <f>3.281*(1.3+EXP(14.7373-15.4469*(N70*2.54)^-0.0728))</f>
        <v>26.19476081289945</v>
      </c>
      <c r="Q70" s="99">
        <v>0</v>
      </c>
      <c r="R70" s="99">
        <f t="shared" si="33"/>
        <v>0</v>
      </c>
      <c r="S70" s="160">
        <f>O70*((EXP(-2.617+1.7824*LN(N70*2.54))/((100-50)/100)/1000)+(EXP(-3.2661+2.0877*LN(N70*2.54))/((100-50)/100)/1000)+(EXP(-4.1934+2.1101*LN(N70*2.54))/((100-50)/100)/1000)+(EXP(-2.0927+2.1863*LN(N70*2.54))/((100-50)/100)/1000))</f>
        <v>0</v>
      </c>
      <c r="T70" s="77">
        <v>5</v>
      </c>
      <c r="U70" s="78">
        <f>Input!N9</f>
        <v>0</v>
      </c>
      <c r="V70" s="100">
        <f>3.281*(1.3+EXP(5.3528-7.3394*(T70*2.54)^-0.3505))</f>
        <v>38.371749119070699</v>
      </c>
      <c r="W70" s="100">
        <v>0</v>
      </c>
      <c r="X70" s="100">
        <f t="shared" si="34"/>
        <v>0</v>
      </c>
      <c r="Y70" s="162">
        <f>U70*((EXP(-3.4662+1.9278*LN(T70*2.54))/((100-50)/100)/1000)+(EXP(-4.8287+2.5585*LN(T70*2.54))/((100-50)/100)/1000)+(EXP(-6.1918+2.8796*LN(T70*2.54))/((100-50)/100)/1000)+(EXP(-3.7389+2.6825*LN(T70*2.54))/((100-50)/100)/1000))</f>
        <v>0</v>
      </c>
      <c r="Z70" s="79">
        <v>5</v>
      </c>
      <c r="AA70" s="80">
        <f>Input!P9</f>
        <v>0</v>
      </c>
      <c r="AB70" s="101">
        <f>3.281*(1.3+EXP(4.893-7.9038*(Z70*2.54)^-0.4113))</f>
        <v>31.444431786456917</v>
      </c>
      <c r="AC70" s="101">
        <v>0</v>
      </c>
      <c r="AD70" s="101">
        <f t="shared" si="35"/>
        <v>0</v>
      </c>
      <c r="AE70" s="80">
        <f>AA70*((EXP(-4.023+2.0327*LN(Z70*2.54))/((100-50)/100)/1000)+(EXP(-7.637+3.3648*LN(Z70*2.54))/((100-50)/100)/1000)+(EXP(-5.295+2.6184*LN(Z70*2.54))/((100-50)/100)/1000)+(EXP(-3.984+2.6667*LN(Z70*2.54))/((100-50)/100)/1000))</f>
        <v>0</v>
      </c>
      <c r="AF70" s="552">
        <v>5</v>
      </c>
      <c r="AG70" s="553">
        <f>Input!R9</f>
        <v>0</v>
      </c>
      <c r="AH70" s="567">
        <f>3.281*(1.37+50.2*(1-EXP(-0.0118*(AF70*2.54)^1.1535)))</f>
        <v>37.20236686563085</v>
      </c>
      <c r="AI70" s="568"/>
      <c r="AJ70" s="567"/>
      <c r="AK70" s="555">
        <f t="shared" si="36"/>
        <v>0</v>
      </c>
    </row>
    <row r="71" spans="2:47" x14ac:dyDescent="0.2">
      <c r="B71" s="16">
        <v>6</v>
      </c>
      <c r="C71" s="73">
        <f>Input!H10</f>
        <v>49.8</v>
      </c>
      <c r="D71" s="98">
        <f>3.281*(1.3+EXP(4.5503-11.4582*(B71*2.54)^-0.5994))</f>
        <v>37.365708038333231</v>
      </c>
      <c r="E71" s="98">
        <v>0</v>
      </c>
      <c r="F71" s="98">
        <f t="shared" si="31"/>
        <v>0</v>
      </c>
      <c r="G71" s="155">
        <f>C71*((EXP(-4.2612+2.0967*LN(B71*2.54))/((100-50)/100)/1000)+(EXP(-5.3855+2.7185*LN(B71*2.54))/((100-50)/100)/1000)+(EXP(-2.5766+1.444*LN(B71*2.54))/((100-50)/100)/1000)+(EXP(-4.2063+2.2312*LN(B71*2.54))/((100-50)/100)/1000)+(EXP(-4.4907+2.7587*LN(B71*2.54))/((100-50)/100)/1000))</f>
        <v>4.2576240488102783</v>
      </c>
      <c r="H71" s="140">
        <v>6</v>
      </c>
      <c r="I71" s="142">
        <f>Input!J10</f>
        <v>0</v>
      </c>
      <c r="J71" s="146">
        <f>3.281*(1.3+EXP(5.7567-6.7792*(H71*2.54)^-0.2795))</f>
        <v>48.023492213128563</v>
      </c>
      <c r="K71" s="146">
        <v>0</v>
      </c>
      <c r="L71" s="146">
        <f t="shared" si="32"/>
        <v>0</v>
      </c>
      <c r="M71" s="158">
        <f>I71*((EXP(-2.8462+1.7009*LN(H71*2.54))/((100-50)/100)/1000)+(EXP(-3.6941+2.1382*LN(H71*2.54))/((100-50)/100)/1000)+(EXP(-3.529+1.7503*LN(H71*2.54))/((100-50)/100)/1000)+(EXP(-4.3103+2.43*LN(H71*2.54))/((100-50)/100)/1000)+(EXP(-3.0396+2.5951*LN(H71*2.54))/((100-50)/100)/1000))</f>
        <v>0</v>
      </c>
      <c r="N71" s="74">
        <v>6</v>
      </c>
      <c r="O71" s="83">
        <f>Input!L10</f>
        <v>0</v>
      </c>
      <c r="P71" s="99">
        <f>3.281*(1.3+EXP(14.7373-15.4469*(N71*2.54)^-0.0728))</f>
        <v>30.23937581569994</v>
      </c>
      <c r="Q71" s="99">
        <v>0</v>
      </c>
      <c r="R71" s="99">
        <f t="shared" si="33"/>
        <v>0</v>
      </c>
      <c r="S71" s="160">
        <f>O71*((EXP(-2.617+1.7824*LN(N71*2.54))/((100-50)/100)/1000)+(EXP(-3.2661+2.0877*LN(N71*2.54))/((100-50)/100)/1000)+(EXP(-4.1934+2.1101*LN(N71*2.54))/((100-50)/100)/1000)+(EXP(-2.0927+2.1863*LN(N71*2.54))/((100-50)/100)/1000))</f>
        <v>0</v>
      </c>
      <c r="T71" s="77">
        <v>6</v>
      </c>
      <c r="U71" s="85">
        <f>Input!N10</f>
        <v>0</v>
      </c>
      <c r="V71" s="100">
        <f>3.281*(1.3+EXP(5.3528-7.3394*(T71*2.54)^-0.3505))</f>
        <v>45.361269109326905</v>
      </c>
      <c r="W71" s="100">
        <v>0</v>
      </c>
      <c r="X71" s="100">
        <f t="shared" si="34"/>
        <v>0</v>
      </c>
      <c r="Y71" s="162">
        <f>U71*((EXP(-3.4662+1.9278*LN(T71*2.54))/((100-50)/100)/1000)+(EXP(-4.8287+2.5585*LN(T71*2.54))/((100-50)/100)/1000)+(EXP(-6.1918+2.8796*LN(T71*2.54))/((100-50)/100)/1000)+(EXP(-3.7389+2.6825*LN(T71*2.54))/((100-50)/100)/1000))</f>
        <v>0</v>
      </c>
      <c r="Z71" s="79">
        <v>6</v>
      </c>
      <c r="AA71" s="87">
        <f>Input!P10</f>
        <v>0</v>
      </c>
      <c r="AB71" s="101">
        <f>3.281*(1.3+EXP(4.893-7.9038*(Z71*2.54)^-0.4113))</f>
        <v>37.486885304582074</v>
      </c>
      <c r="AC71" s="101">
        <v>0</v>
      </c>
      <c r="AD71" s="101">
        <f t="shared" si="35"/>
        <v>0</v>
      </c>
      <c r="AE71" s="80">
        <f>AA71*((EXP(-4.023+2.0327*LN(Z71*2.54))/((100-50)/100)/1000)+(EXP(-7.637+3.3648*LN(Z71*2.54))/((100-50)/100)/1000)+(EXP(-5.295+2.6184*LN(Z71*2.54))/((100-50)/100)/1000)+(EXP(-3.984+2.6667*LN(Z71*2.54))/((100-50)/100)/1000))</f>
        <v>0</v>
      </c>
      <c r="AF71" s="552">
        <v>6</v>
      </c>
      <c r="AG71" s="553">
        <f>Input!R10</f>
        <v>0</v>
      </c>
      <c r="AH71" s="567">
        <f>3.281*(1.37+50.2*(1-EXP(-0.0118*(AF71*2.54)^1.1535)))</f>
        <v>43.867525281554876</v>
      </c>
      <c r="AI71" s="568"/>
      <c r="AJ71" s="567"/>
      <c r="AK71" s="555">
        <f t="shared" si="36"/>
        <v>0</v>
      </c>
    </row>
    <row r="72" spans="2:47" x14ac:dyDescent="0.2">
      <c r="B72" s="152">
        <v>7</v>
      </c>
      <c r="C72" s="153">
        <f>Input!H11</f>
        <v>0</v>
      </c>
      <c r="D72" s="153">
        <f>IF(Input!C9="Sawlogs only","",IF(C72=0,0,3.281*(1.3+EXP(4.5503-11.4582*(B72*2.54)^-0.5994))))</f>
        <v>0</v>
      </c>
      <c r="E72" s="153">
        <f>IF(Input!C9="Sawlogs only","",IF(D72=0,0,(((10^(-2.729937+1.909478*LOG(B72)+1.085681*LOG(D72)))*0.912733/(1.033*(1+1.382937*EXP(-4.015292*B72/10))*(0.005454154*B72^2+0.087266)-0.174533))*((0.005454154*B72^2-0.087266)/0.912733))))</f>
        <v>0</v>
      </c>
      <c r="F72" s="153">
        <f>IF(Input!C9="Sawlogs only","",E72*C72)</f>
        <v>0</v>
      </c>
      <c r="G72" s="416">
        <f>C72*((EXP(-4.2612+2.0967*LN(B72*2.54))/((100-50)/100)/1000)+(EXP(-5.3855+2.7185*LN(B72*2.54))/((100-50)/100)/1000)+(EXP(-2.5766+1.444*LN(B72*2.54))/((100-50)/100)/1000)+(EXP(-4.2063+2.2312*LN(B72*2.54))/((100-50)/100)/1000)+IF(Input!$C$9="Pulp-wood + sawlogs",((E29-E72)/35.315*0.76*1.1023),(EXP(-4.4907+2.7587*LN(B72*2.54))/((100-50)/100)/1000)))</f>
        <v>0</v>
      </c>
      <c r="H72" s="147">
        <v>7</v>
      </c>
      <c r="I72" s="140">
        <f>Input!J11</f>
        <v>0</v>
      </c>
      <c r="J72" s="147">
        <f>IF(Input!C9="Sawlogs only","",IF(I72=0,0,3.281*(1.3+EXP(5.7567-6.7792*(H72*2.54)^-0.2795))))</f>
        <v>0</v>
      </c>
      <c r="K72" s="147">
        <f>IF(Input!C9="Sawlogs only","",IF(I72=0,0,(((EXP(-6.5193+1.7131*LN(H72)+1.2274*LN(J72)))*0.912733/(1.033*(1+1.382937*EXP(-4.015292*H72/10))*(0.005454154*H72^2+0.087266)-0.174533))*((0.005454154*H72^2-0.087266)/0.912733))))</f>
        <v>0</v>
      </c>
      <c r="L72" s="147">
        <f>IF(Input!C9="Sawlogs only","",K72*I72)</f>
        <v>0</v>
      </c>
      <c r="M72" s="418">
        <f>I72*((EXP(-2.8462+1.7009*LN(H72*2.54))/((100-50)/100)/1000)+(EXP(-3.6941+2.1382*LN(H72*2.54))/((100-50)/100)/1000)+(EXP(-3.529+1.7503*LN(H72*2.54))/((100-50)/100)/1000)+(EXP(-4.3103+2.43*LN(H72*2.54))/((100-50)/100)/1000)+IF(Input!$C$9="Pulp-wood + sawlogs",((K29-K72)/35.315*0.9*1.1023),(EXP(-3.0396+2.5951*LN(H72*2.54))/((100-50)/100)/1000)))</f>
        <v>0</v>
      </c>
      <c r="N72" s="419">
        <v>7</v>
      </c>
      <c r="O72" s="75">
        <f>Input!L11</f>
        <v>0</v>
      </c>
      <c r="P72" s="420">
        <f>IF(Input!C9="Sawlogs only","",IF(O72=0,0,3.281*(1.3+EXP(14.7373-15.4469*(N72*2.54)^-0.0728))))</f>
        <v>0</v>
      </c>
      <c r="Q72" s="420">
        <f>IF(Input!C9="Sawlogs only","",IF(P72=0,0,(((10^(-2.464614+1.701993*LOG(N72)+1.067038*LOG(P72)))*0.912733/(1.033*(1+1.382937*EXP(-4.015292*N72/10))*(0.005454154*N72^2+0.087266)-0.174533))*((0.005454154*N72^2-0.087266)/0.912733))))</f>
        <v>0</v>
      </c>
      <c r="R72" s="420">
        <f>IF(Input!C9="Sawlogs only","",Q72*O72)</f>
        <v>0</v>
      </c>
      <c r="S72" s="421">
        <f>O72*((EXP(-2.617+1.7824*LN(N72*2.54))/((100-50)/100)/1000)+(EXP(-3.2661+2.0877*LN(N72*2.54))/((100-50)/100)/1000)+(EXP(-4.1934+2.1101*LN(N72*2.54))/((100-50)/100)/1000)+IF(Input!$C$9="Pulp-wood + sawlogs",((Q29-Q72)/35.315*0.7*1.1023),(EXP(-2.0927+2.1863*LN(N72*2.54))/((100-50)/100)/1000)))</f>
        <v>0</v>
      </c>
      <c r="T72" s="422">
        <v>7</v>
      </c>
      <c r="U72" s="78">
        <f>Input!N11</f>
        <v>0</v>
      </c>
      <c r="V72" s="423">
        <f>IF(Input!C9="Sawlogs only","",IF(U72=0,0,3.281*(1.3+EXP(5.3528-7.3394*(T72*2.54)^-0.3505))))</f>
        <v>0</v>
      </c>
      <c r="W72" s="423">
        <f>IF(Input!C9="Sawlogs only","",IF(U72=0,0,(((10^(-2.575642+1.806775*LOG(T72)+1.094665*LOG(V72)))*0.912733/(1.033*(1+1.382937*EXP(-4.015292*T72/10))*(0.005454154*T72^2+0.087266)-0.174533))*((0.005454154*T72^2-0.087266)/0.912733))))</f>
        <v>0</v>
      </c>
      <c r="X72" s="423">
        <f>IF(Input!C9="Sawlogs only","",W72*U72)</f>
        <v>0</v>
      </c>
      <c r="Y72" s="424">
        <f>U72*((EXP(-3.4662+1.9278*LN(T72*2.54))/((100-50)/100)/1000)+(EXP(-4.8287+2.5585*LN(T72*2.54))/((100-50)/100)/1000)+(EXP(-6.1918+2.8796*LN(T72*2.54))/((100-50)/100)/1000)+IF(Input!$C$9="Pulp-wood + sawlogs",((W29-W72)/35.315*0.74*1.1023),(EXP(-3.7389+2.6825*LN(T72*2.54))/((100-50)/100)/1000)))</f>
        <v>0</v>
      </c>
      <c r="Z72" s="425">
        <v>7</v>
      </c>
      <c r="AA72" s="80">
        <f>Input!P11</f>
        <v>0</v>
      </c>
      <c r="AB72" s="426">
        <f>IF(Input!C9="Sawlogs only","",IF(AA72=0,0,3.281*(1.3+EXP(4.893-7.9038*(Z72*2.54)^-0.4113))))</f>
        <v>0</v>
      </c>
      <c r="AC72" s="426">
        <f>IF(Input!C9="Sawlogs only","",IF(AA72=0,0,10^(-2.615591+1.847504*LOG(Z72)+1.085772*LOG(AB72))*0.912733/(1.033*(1+1.382937*EXP(-4.015292*Z72/10))*(0.005454154*Z72^2+0.087266)-0.174533)*((0.005454154*Z72^2-0.087266)/0.912733)))</f>
        <v>0</v>
      </c>
      <c r="AD72" s="426">
        <f>IF(Input!C9="Sawlogs only","",AC72*AA72)</f>
        <v>0</v>
      </c>
      <c r="AE72" s="426">
        <f>AA72*((EXP(-4.023+2.0327*LN(Z72*2.54))/((100-50)/100)/1000)+(EXP(-7.637+3.3648*LN(Z72*2.54))/((100-50)/100)/1000)+(EXP(-5.295+2.6184*LN(Z72*2.54))/((100-50)/100)/1000)+IF(Input!$C$9="Pulp-wood + sawlogs",((AC29-AC72)/35.315*0.68*1.1023),(EXP(-3.984+2.6667*LN(Z72*2.54))/((100-50)/100)/1000)))</f>
        <v>0</v>
      </c>
      <c r="AF72" s="557">
        <v>7</v>
      </c>
      <c r="AG72" s="558">
        <f>Input!R11</f>
        <v>0</v>
      </c>
      <c r="AH72" s="558">
        <f>IF(Input!C9="Sawlogs only","",IF(AG72=0,0,3.281*(1.37+50.2*(1-EXP(-0.0118*(AF72*2.54)^1.1535)))))</f>
        <v>0</v>
      </c>
      <c r="AI72" s="565">
        <f>IF(Input!C9="Sawlogs only","",IF(AG72=0,0,(0.00716*(AF72*2.54)^2.02253*(AH72/3.281)^1.30938)/0.72/35.315)*0.912733/(1.033*(1+1.382937*EXP(-4.015292*AF72/10))*(0.005454154*AF72^2+0.087266)-0.174533)*((0.005454154*AF72^2-0.087266)/0.912733))</f>
        <v>0</v>
      </c>
      <c r="AJ72" s="558">
        <f>IF(Input!C9="Sawlogs only","",AI72*AG72)</f>
        <v>0</v>
      </c>
      <c r="AK72" s="554">
        <f>((0.03088*(AF72*2.54)^1.10021*((3.281*(1.37+50.2*(1-EXP(-0.0118*(AF72*2.54)^1.1535))))/3.281)^1.09925)+(0.01613*(AF72*2.54)^1.90578*((3.281*(1.37+50.2*(1-EXP(-0.0118*(AF72*2.54)^1.1535))))/3.281)^0.70112)+(0.03886*(AF72*2.54)^1.53515*((3.281*(1.37+50.2*(1-EXP(-0.0118*(AF72*2.54)^1.1535))))/3.281)^0.31776))/907.2*AG72+IF(Input!C9="Sawlogs only",0,(AJ29-AJ72)*0.00002247843)</f>
        <v>0</v>
      </c>
      <c r="AL72" s="157">
        <f t="shared" ref="AL72:AL100" si="37">IF(C72=0,,IF(B72&lt;$AN$64,,ROUNDUP(((D72-94)+1)/16,0)))</f>
        <v>0</v>
      </c>
      <c r="AM72" s="31" t="str">
        <f t="shared" ref="AM72:AM80" si="38">IF(C72=0,"",ROUNDDOWN((D72-$D$69)/16-AL72,0))</f>
        <v/>
      </c>
      <c r="AN72" s="157">
        <f t="shared" ref="AN72:AN100" si="39">IF(I72=0,,IF(H72&lt;$AN$64,,ROUNDUP(((J72-98)+1)/16,0)))</f>
        <v>0</v>
      </c>
      <c r="AO72" s="31" t="str">
        <f>IF(I72=0,"",ROUNDDOWN((J72-$J$69)/16-AN72,0))</f>
        <v/>
      </c>
      <c r="AP72" s="157">
        <f t="shared" ref="AP72:AP100" si="40">IF(O72=0,,IF(N72&lt;$AN$64,,ROUNDUP(((P72-66)+1)/16,0)))</f>
        <v>0</v>
      </c>
      <c r="AQ72" s="31" t="str">
        <f>IF(O72=0,"",ROUNDDOWN((P72-$P$69)/16-AP72,0))</f>
        <v/>
      </c>
      <c r="AR72" s="157">
        <f t="shared" ref="AR72:AR100" si="41">IF(U72=0,,IF(T72&lt;$AN$64,,ROUNDUP(((V72-98)+1)/16,0)))</f>
        <v>0</v>
      </c>
      <c r="AS72" s="31" t="str">
        <f>IF(U72=0,"",ROUNDDOWN((V72-$V$69)/16-AR72,0))</f>
        <v/>
      </c>
      <c r="AT72" s="157">
        <f t="shared" ref="AT72:AT100" si="42">IF(AA72=0,,IF(Z72&lt;$AN$64,,ROUNDUP(((AB72-82)+1)/16,0)))</f>
        <v>0</v>
      </c>
      <c r="AU72" s="31" t="str">
        <f>IF(AA72=0,"",ROUNDDOWN((AB72-$AB$69)/16-AT72,0))</f>
        <v/>
      </c>
    </row>
    <row r="73" spans="2:47" x14ac:dyDescent="0.2">
      <c r="B73" s="18">
        <v>8</v>
      </c>
      <c r="C73" s="81">
        <f>Input!H12</f>
        <v>0</v>
      </c>
      <c r="D73" s="81">
        <f>IF(Input!C9="Sawlogs only","",IF(C73=0,0,3.281*(1.3+EXP(4.5503-11.4582*(B73*2.54)^-0.5994))))</f>
        <v>0</v>
      </c>
      <c r="E73" s="81">
        <f>IF(Input!C9="Sawlogs only","",IF(D73=0,0,(((10^(-2.729937+1.909478*LOG(B73)+1.085681*LOG(D73)))*0.912733/(1.033*(1+1.382937*EXP(-4.015292*B73/10))*(0.005454154*B73^2+0.087266)-0.174533))*((0.005454154*B73^2-0.087266)/0.912733))))</f>
        <v>0</v>
      </c>
      <c r="F73" s="81">
        <f>IF(Input!C9="Sawlogs only","",E73*C73)</f>
        <v>0</v>
      </c>
      <c r="G73" s="159">
        <f>C73*((EXP(-4.2612+2.0967*LN(B73*2.54))/((100-50)/100)/1000)+(EXP(-5.3855+2.7185*LN(B73*2.54))/((100-50)/100)/1000)+(EXP(-2.5766+1.444*LN(B73*2.54))/((100-50)/100)/1000)+(EXP(-4.2063+2.2312*LN(B73*2.54))/((100-50)/100)/1000)+IF(Input!$C$9="Pulp-wood + sawlogs",((E30-E73)/35.315*0.76*1.1023),(EXP(-4.4907+2.7587*LN(B73*2.54))/((100-50)/100)/1000)))</f>
        <v>0</v>
      </c>
      <c r="H73" s="142">
        <v>8</v>
      </c>
      <c r="I73" s="142">
        <f>Input!J12</f>
        <v>0</v>
      </c>
      <c r="J73" s="142">
        <f>IF(Input!C9="Sawlogs only","",IF(I73=0,0,3.281*(1.3+EXP(5.7567-6.7792*(H73*2.54)^-0.2795))))</f>
        <v>0</v>
      </c>
      <c r="K73" s="142">
        <f>IF(Input!C9="Sawlogs only","",IF(I73=0,0,(((EXP(-6.5193+1.7131*LN(H73)+1.2274*LN(J73)))*0.912733/(1.033*(1+1.382937*EXP(-4.015292*H73/10))*(0.005454154*H73^2+0.087266)-0.174533))*((0.005454154*H73^2-0.087266)/0.912733))))</f>
        <v>0</v>
      </c>
      <c r="L73" s="142">
        <f>IF(Input!C9="Sawlogs only","",K73*I73)</f>
        <v>0</v>
      </c>
      <c r="M73" s="417">
        <f>I73*((EXP(-2.8462+1.7009*LN(H73*2.54))/((100-50)/100)/1000)+(EXP(-3.6941+2.1382*LN(H73*2.54))/((100-50)/100)/1000)+(EXP(-3.529+1.7503*LN(H73*2.54))/((100-50)/100)/1000)+(EXP(-4.3103+2.43*LN(H73*2.54))/((100-50)/100)/1000)+IF(Input!$C$9="Pulp-wood + sawlogs",((K30-K73)/35.315*0.9*1.1023),(EXP(-3.0396+2.5951*LN(H73*2.54))/((100-50)/100)/1000)))</f>
        <v>0</v>
      </c>
      <c r="N73" s="82">
        <v>8</v>
      </c>
      <c r="O73" s="83">
        <f>Input!L12</f>
        <v>0</v>
      </c>
      <c r="P73" s="83">
        <f>IF(Input!C9="Sawlogs only","",IF(O73=0,0,3.281*(1.3+EXP(14.7373-15.4469*(N73*2.54)^-0.0728))))</f>
        <v>0</v>
      </c>
      <c r="Q73" s="83">
        <f>IF(Input!C9="Sawlogs only","",IF(P73=0,0,(((10^(-2.464614+1.701993*LOG(N73)+1.067038*LOG(P73)))*0.912733/(1.033*(1+1.382937*EXP(-4.015292*N73/10))*(0.005454154*N73^2+0.087266)-0.174533))*((0.005454154*N73^2-0.087266)/0.912733))))</f>
        <v>0</v>
      </c>
      <c r="R73" s="83">
        <f>IF(Input!C9="Sawlogs only","",Q73*O73)</f>
        <v>0</v>
      </c>
      <c r="S73" s="161">
        <f>O73*((EXP(-2.617+1.7824*LN(N73*2.54))/((100-50)/100)/1000)+(EXP(-3.2661+2.0877*LN(N73*2.54))/((100-50)/100)/1000)+(EXP(-4.1934+2.1101*LN(N73*2.54))/((100-50)/100)/1000)+IF(Input!$C$9="Pulp-wood + sawlogs",((Q30-Q73)/35.315*0.7*1.1023),(EXP(-2.0927+2.1863*LN(N73*2.54))/((100-50)/100)/1000)))</f>
        <v>0</v>
      </c>
      <c r="T73" s="84">
        <v>8</v>
      </c>
      <c r="U73" s="85">
        <f>Input!N12</f>
        <v>0</v>
      </c>
      <c r="V73" s="85">
        <f>IF(Input!C9="Sawlogs only","",IF(U73=0,0,3.281*(1.3+EXP(5.3528-7.3394*(T73*2.54)^-0.3505))))</f>
        <v>0</v>
      </c>
      <c r="W73" s="85">
        <f>IF(Input!C9="Sawlogs only","",IF(U73=0,0,(((10^(-2.575642+1.806775*LOG(T73)+1.094665*LOG(V73)))*0.912733/(1.033*(1+1.382937*EXP(-4.015292*T73/10))*(0.005454154*T73^2+0.087266)-0.174533))*((0.005454154*T73^2-0.087266)/0.912733))))</f>
        <v>0</v>
      </c>
      <c r="X73" s="85">
        <f>IF(Input!$C$9="Sawlogs only","",W73*U73)</f>
        <v>0</v>
      </c>
      <c r="Y73" s="427">
        <f>U73*((EXP(-3.4662+1.9278*LN(T73*2.54))/((100-50)/100)/1000)+(EXP(-4.8287+2.5585*LN(T73*2.54))/((100-50)/100)/1000)+(EXP(-6.1918+2.8796*LN(T73*2.54))/((100-50)/100)/1000)+IF(Input!$C$9="Pulp-wood + sawlogs",((W30-W73)/35.315*0.74*1.1023),(EXP(-3.7389+2.6825*LN(T73*2.54))/((100-50)/100)/1000)))</f>
        <v>0</v>
      </c>
      <c r="Z73" s="86">
        <v>8</v>
      </c>
      <c r="AA73" s="87">
        <f>Input!P12</f>
        <v>0</v>
      </c>
      <c r="AB73" s="87">
        <f>IF(Input!C9="Sawlogs only","",IF(AA73=0,0,3.281*(1.3+EXP(4.893-7.9038*(Z73*2.54)^-0.4113))))</f>
        <v>0</v>
      </c>
      <c r="AC73" s="87">
        <f>IF(Input!C9="Sawlogs only","",IF(AA73=0,0,10^(-2.615591+1.847504*LOG(Z73)+1.085772*LOG(AB73))*0.912733/(1.033*(1+1.382937*EXP(-4.015292*Z73/10))*(0.005454154*Z73^2+0.087266)-0.174533)*((0.005454154*Z73^2-0.087266)/0.912733)))</f>
        <v>0</v>
      </c>
      <c r="AD73" s="87">
        <f>IF(Input!C9="Sawlogs only","",AC73*AA73)</f>
        <v>0</v>
      </c>
      <c r="AE73" s="87">
        <f>AA73*((EXP(-4.023+2.0327*LN(Z73*2.54))/((100-50)/100)/1000)+(EXP(-7.637+3.3648*LN(Z73*2.54))/((100-50)/100)/1000)+(EXP(-5.295+2.6184*LN(Z73*2.54))/((100-50)/100)/1000)+IF(Input!$C$9="Pulp-wood + sawlogs",((AC30-AC73)/35.315*0.68*1.1023),(EXP(-3.984+2.6667*LN(Z73*2.54))/((100-50)/100)/1000)))</f>
        <v>0</v>
      </c>
      <c r="AF73" s="559">
        <v>8</v>
      </c>
      <c r="AG73" s="556">
        <f>Input!R12</f>
        <v>0</v>
      </c>
      <c r="AH73" s="556">
        <f>IF(Input!C9="Sawlogs only","",IF(AG73=0,0,3.281*(1.37+50.2*(1-EXP(-0.0118*(AF73*2.54)^1.1535)))))</f>
        <v>0</v>
      </c>
      <c r="AI73" s="566">
        <f>IF(Input!C9="Sawlogs only","",IF(AG73=0,0,(0.00716*(AF73*2.54)^2.02253*(AH73/3.281)^1.30938)/0.72/35.315)*0.912733/(1.033*(1+1.382937*EXP(-4.015292*AF73/10))*(0.005454154*AF73^2+0.087266)-0.174533)*((0.005454154*AF73^2-0.087266)/0.912733))</f>
        <v>0</v>
      </c>
      <c r="AJ73" s="556">
        <f>IF(Input!C9="Sawlogs only","",AI73*AG73)</f>
        <v>0</v>
      </c>
      <c r="AK73" s="560">
        <f>((0.03088*(AF73*2.54)^1.10021*((3.281*(1.37+50.2*(1-EXP(-0.0118*(AF73*2.54)^1.1535))))/3.281)^1.09925)+(0.01613*(AF73*2.54)^1.90578*((3.281*(1.37+50.2*(1-EXP(-0.0118*(AF73*2.54)^1.1535))))/3.281)^0.70112)+(0.03886*(AF73*2.54)^1.53515*((3.281*(1.37+50.2*(1-EXP(-0.0118*(AF73*2.54)^1.1535))))/3.281)^0.31776))/907.2*AG73+IF(Input!C9="Sawlogs only",0,(AJ30-AJ73)*0.00002247843)</f>
        <v>0</v>
      </c>
      <c r="AL73" s="157">
        <f t="shared" si="37"/>
        <v>0</v>
      </c>
      <c r="AM73" s="31" t="str">
        <f t="shared" si="38"/>
        <v/>
      </c>
      <c r="AN73" s="157">
        <f t="shared" si="39"/>
        <v>0</v>
      </c>
      <c r="AO73" s="31" t="str">
        <f>IF(I73=0,"",ROUNDDOWN((J73-$J$69)/16-AN73,0))</f>
        <v/>
      </c>
      <c r="AP73" s="157">
        <f t="shared" si="40"/>
        <v>0</v>
      </c>
      <c r="AQ73" s="31" t="str">
        <f t="shared" ref="AQ73:AQ100" si="43">IF(O73=0,"",ROUNDDOWN((P73-$P$69)/16-AP73,0))</f>
        <v/>
      </c>
      <c r="AR73" s="157">
        <f t="shared" si="41"/>
        <v>0</v>
      </c>
      <c r="AS73" s="31" t="str">
        <f t="shared" ref="AS73:AS100" si="44">IF(U73=0,"",ROUNDDOWN((V73-$V$69)/16-AR73,0))</f>
        <v/>
      </c>
      <c r="AT73" s="157">
        <f t="shared" si="42"/>
        <v>0</v>
      </c>
      <c r="AU73" s="31" t="str">
        <f t="shared" ref="AU73:AU100" si="45">IF(AA73=0,"",ROUNDDOWN((AB73-$AB$69)/16-AT73,0))</f>
        <v/>
      </c>
    </row>
    <row r="74" spans="2:47" x14ac:dyDescent="0.2">
      <c r="B74" s="16">
        <v>9</v>
      </c>
      <c r="C74" s="73">
        <f>Input!H13</f>
        <v>0</v>
      </c>
      <c r="D74" s="73">
        <f t="shared" ref="D74:D100" si="46">IF(C74=0,0,3.281*(1.3+EXP(4.5503-11.4582*(B74*2.54)^-0.5994)))</f>
        <v>0</v>
      </c>
      <c r="E74" s="73">
        <f t="shared" ref="E74:E100" si="47">IF(D74=0,0,(((10^(-2.729937+1.909478*LOG(B74)+1.085681*LOG(D74)))*0.912733/(1.033*(1+1.382937*EXP(-4.015292*B74/10))*(0.005454154*B74^2+0.087266)-0.174533))*((0.005454154*B74^2-0.087266)/0.912733)))</f>
        <v>0</v>
      </c>
      <c r="F74" s="73">
        <f t="shared" si="31"/>
        <v>0</v>
      </c>
      <c r="G74" s="155">
        <f t="shared" ref="G74:G100" si="48">C74*((EXP(-4.2612+2.0967*LN(B74*2.54))/((100-50)/100)/1000)+(EXP(-5.3855+2.7185*LN(B74*2.54))/((100-50)/100)/1000)+(EXP(-2.5766+1.444*LN(B74*2.54))/((100-50)/100)/1000)+(EXP(-4.2063+2.2312*LN(B74*2.54))/((100-50)/100)/1000)+((E31-E74)/35.315*0.76*1.1023))</f>
        <v>0</v>
      </c>
      <c r="H74" s="140">
        <v>9</v>
      </c>
      <c r="I74" s="140">
        <f>Input!J13</f>
        <v>0</v>
      </c>
      <c r="J74" s="140">
        <f t="shared" ref="J74:J100" si="49">IF(I74=0,0,3.281*(1.3+EXP(5.7567-6.7792*(H74*2.54)^-0.2795)))</f>
        <v>0</v>
      </c>
      <c r="K74" s="140">
        <f t="shared" ref="K74:K100" si="50">IF(I74=0,0,(((EXP(-6.5193+1.7131*LN(H74)+1.2274*LN(J74)))*0.912733/(1.033*(1+1.382937*EXP(-4.015292*H74/10))*(0.005454154*H74^2+0.087266)-0.174533))*((0.005454154*H74^2-0.087266)/0.912733)))</f>
        <v>0</v>
      </c>
      <c r="L74" s="140">
        <f t="shared" si="32"/>
        <v>0</v>
      </c>
      <c r="M74" s="158">
        <f t="shared" ref="M74:M100" si="51">I74*((EXP(-2.8462+1.7009*LN(H74*2.54))/((100-50)/100)/1000)+(EXP(-3.6941+2.1382*LN(H74*2.54))/((100-50)/100)/1000)+(EXP(-3.529+1.7503*LN(H74*2.54))/((100-50)/100)/1000)+(EXP(-4.3103+2.43*LN(H74*2.54))/((100-50)/100)/1000)+((K31-K74)/35.315*0.9*1.1023))</f>
        <v>0</v>
      </c>
      <c r="N74" s="74">
        <v>9</v>
      </c>
      <c r="O74" s="75">
        <f>Input!L13</f>
        <v>0</v>
      </c>
      <c r="P74" s="75">
        <f t="shared" ref="P74:P100" si="52">IF(O74=0,0,3.281*(1.3+EXP(14.7373-15.4469*(N74*2.54)^-0.0728)))</f>
        <v>0</v>
      </c>
      <c r="Q74" s="75">
        <f t="shared" ref="Q74:Q100" si="53">IF(P74=0,0,(((10^(-2.464614+1.701993*LOG(N74)+1.067038*LOG(P74)))*0.912733/(1.033*(1+1.382937*EXP(-4.015292*N74/10))*(0.005454154*N74^2+0.087266)-0.174533))*((0.005454154*N74^2-0.087266)/0.912733)))</f>
        <v>0</v>
      </c>
      <c r="R74" s="75">
        <f t="shared" si="33"/>
        <v>0</v>
      </c>
      <c r="S74" s="160">
        <f t="shared" ref="S74:S100" si="54">O74*((EXP(-2.617+1.7824*LN(N74*2.54))/((100-50)/100)/1000)+(EXP(-3.2661+2.0877*LN(N74*2.54))/((100-50)/100)/1000)+(EXP(-4.1934+2.1101*LN(N74*2.54))/((100-50)/100)/1000)+((Q31-Q74)/35.315*0.7*1.1023))</f>
        <v>0</v>
      </c>
      <c r="T74" s="77">
        <v>9</v>
      </c>
      <c r="U74" s="78">
        <f>Input!N13</f>
        <v>0</v>
      </c>
      <c r="V74" s="78">
        <f t="shared" ref="V74:V100" si="55">IF(U74=0,0,3.281*(1.3+EXP(5.3528-7.3394*(T74*2.54)^-0.3505)))</f>
        <v>0</v>
      </c>
      <c r="W74" s="78">
        <f t="shared" ref="W74:W100" si="56">IF(U74=0,0,(((10^(-2.575642+1.806775*LOG(T74)+1.094665*LOG(V74)))*0.912733/(1.033*(1+1.382937*EXP(-4.015292*T74/10))*(0.005454154*T74^2+0.087266)-0.174533))*((0.005454154*T74^2-0.087266)/0.912733)))</f>
        <v>0</v>
      </c>
      <c r="X74" s="78">
        <f t="shared" si="34"/>
        <v>0</v>
      </c>
      <c r="Y74" s="162">
        <f t="shared" ref="Y74:Y100" si="57">U74*((EXP(-3.4662+1.9278*LN(T74*2.54))/((100-50)/100)/1000)+(EXP(-4.8287+2.5585*LN(T74*2.54))/((100-50)/100)/1000)+(EXP(-6.1918+2.8796*LN(T74*2.54))/((100-50)/100)/1000)+((W31-W74)/35.315*0.74*1.1023))</f>
        <v>0</v>
      </c>
      <c r="Z74" s="79">
        <v>9</v>
      </c>
      <c r="AA74" s="80">
        <f>Input!P13</f>
        <v>0</v>
      </c>
      <c r="AB74" s="80">
        <f t="shared" ref="AB74:AB100" si="58">IF(AA74=0,0,3.281*(1.3+EXP(4.893-7.9038*(Z74*2.54)^-0.4113)))</f>
        <v>0</v>
      </c>
      <c r="AC74" s="80">
        <f>IF(AA74=0,0,10^(-2.615591+1.847504*LOG(Z74)+1.085772*LOG(AB74))*0.912733/(1.033*(1+1.382937*EXP(-4.015292*Z74/10))*(0.005454154*Z74^2+0.087266)-0.174533)*((0.005454154*Z74^2-0.087266)/0.912733))</f>
        <v>0</v>
      </c>
      <c r="AD74" s="80">
        <f t="shared" si="35"/>
        <v>0</v>
      </c>
      <c r="AE74" s="80">
        <f t="shared" ref="AE74:AE100" si="59">AA74*((EXP(-4.023+2.0327*LN(Z74*2.54))/((100-50)/100)/1000)+(EXP(-7.637+3.3648*LN(Z74*2.54))/((100-50)/100)/1000)+(EXP(-5.295+2.6184*LN(Z74*2.54))/((100-50)/100)/1000)+((AC31-AC74)/35.315*0.68*1.1023))</f>
        <v>0</v>
      </c>
      <c r="AF74" s="552">
        <v>9</v>
      </c>
      <c r="AG74" s="553">
        <f>Input!R13</f>
        <v>0</v>
      </c>
      <c r="AH74" s="553">
        <f>IF(AG74=0,0,3.281*(1.37+50.2*(1-EXP(-0.0118*(AF74*2.54)^1.1535))))</f>
        <v>0</v>
      </c>
      <c r="AI74" s="564">
        <f t="shared" ref="AI74:AI92" si="60">IF(AG74=0,0,(0.00716*(AF74*2.54)^2.02253*(AH74/3.281)^1.30938/0.72/35.315)*0.912733/(1.033*(1+1.382937*EXP(-4.015292*AF74/10))*(0.005454154*AF74^2+0.087266)-0.174533)*((0.005454154*AF74^2-0.087266)/0.912733))</f>
        <v>0</v>
      </c>
      <c r="AJ74" s="553">
        <f t="shared" ref="AJ74:AJ100" si="61">AI74*AG74</f>
        <v>0</v>
      </c>
      <c r="AK74" s="555">
        <f t="shared" ref="AK74:AK100" si="62">((0.03088*(AF74*2.54)^1.10021*(AH74/3.281)^1.09925)+(0.01613*(AF74*2.54)^1.90578*(AH74/3.281)^0.70112)+(0.03886*(AF74*2.54)^1.53515*(AH74/3.281)^0.31776))/907.2*AG74+(AJ31-AJ74)*0.00002247843</f>
        <v>0</v>
      </c>
      <c r="AL74" s="157">
        <f t="shared" si="37"/>
        <v>0</v>
      </c>
      <c r="AM74" s="31" t="str">
        <f t="shared" si="38"/>
        <v/>
      </c>
      <c r="AN74" s="157">
        <f t="shared" si="39"/>
        <v>0</v>
      </c>
      <c r="AO74" s="31" t="str">
        <f>IF(I74=0,"",ROUNDDOWN((J74-$J$69)/16-AN74,0))</f>
        <v/>
      </c>
      <c r="AP74" s="157">
        <f t="shared" si="40"/>
        <v>0</v>
      </c>
      <c r="AQ74" s="31" t="str">
        <f t="shared" si="43"/>
        <v/>
      </c>
      <c r="AR74" s="157">
        <f t="shared" si="41"/>
        <v>0</v>
      </c>
      <c r="AS74" s="31" t="str">
        <f t="shared" si="44"/>
        <v/>
      </c>
      <c r="AT74" s="157">
        <f t="shared" si="42"/>
        <v>0</v>
      </c>
      <c r="AU74" s="31" t="str">
        <f t="shared" si="45"/>
        <v/>
      </c>
    </row>
    <row r="75" spans="2:47" x14ac:dyDescent="0.2">
      <c r="B75" s="16">
        <v>10</v>
      </c>
      <c r="C75" s="73">
        <f>Input!H14</f>
        <v>26.7</v>
      </c>
      <c r="D75" s="73">
        <f t="shared" si="46"/>
        <v>64.008876534109675</v>
      </c>
      <c r="E75" s="73">
        <f t="shared" si="47"/>
        <v>12.783630972949753</v>
      </c>
      <c r="F75" s="73">
        <f t="shared" si="31"/>
        <v>341.32294697775842</v>
      </c>
      <c r="G75" s="155">
        <f t="shared" si="48"/>
        <v>-4.301159903439026</v>
      </c>
      <c r="H75" s="140">
        <v>10</v>
      </c>
      <c r="I75" s="140">
        <f>Input!J14</f>
        <v>0</v>
      </c>
      <c r="J75" s="140">
        <f t="shared" si="49"/>
        <v>0</v>
      </c>
      <c r="K75" s="140">
        <f t="shared" si="50"/>
        <v>0</v>
      </c>
      <c r="L75" s="140">
        <f t="shared" si="32"/>
        <v>0</v>
      </c>
      <c r="M75" s="158">
        <f t="shared" si="51"/>
        <v>0</v>
      </c>
      <c r="N75" s="74">
        <v>10</v>
      </c>
      <c r="O75" s="75">
        <f>Input!L14</f>
        <v>0</v>
      </c>
      <c r="P75" s="75">
        <f t="shared" si="52"/>
        <v>0</v>
      </c>
      <c r="Q75" s="75">
        <f t="shared" si="53"/>
        <v>0</v>
      </c>
      <c r="R75" s="75">
        <f t="shared" si="33"/>
        <v>0</v>
      </c>
      <c r="S75" s="160">
        <f t="shared" si="54"/>
        <v>0</v>
      </c>
      <c r="T75" s="77">
        <v>10</v>
      </c>
      <c r="U75" s="78">
        <f>Input!N14</f>
        <v>0</v>
      </c>
      <c r="V75" s="78">
        <f t="shared" si="55"/>
        <v>0</v>
      </c>
      <c r="W75" s="78">
        <f t="shared" si="56"/>
        <v>0</v>
      </c>
      <c r="X75" s="78">
        <f t="shared" si="34"/>
        <v>0</v>
      </c>
      <c r="Y75" s="162">
        <f t="shared" si="57"/>
        <v>0</v>
      </c>
      <c r="Z75" s="79">
        <v>10</v>
      </c>
      <c r="AA75" s="80">
        <f>Input!P14</f>
        <v>0</v>
      </c>
      <c r="AB75" s="80">
        <f t="shared" si="58"/>
        <v>0</v>
      </c>
      <c r="AC75" s="80">
        <f t="shared" ref="AC75:AC100" si="63">IF(AA75=0,0,10^(-2.615591+1.847504*LOG(Z75)+1.085772*LOG(AB75))*0.912733/(1.033*(1+1.382937*EXP(-4.015292*Z75/10))*(0.005454154*Z75^2+0.087266)-0.174533)*((0.005454154*Z75^2-0.087266)/0.912733))</f>
        <v>0</v>
      </c>
      <c r="AD75" s="80">
        <f t="shared" si="35"/>
        <v>0</v>
      </c>
      <c r="AE75" s="80">
        <f t="shared" si="59"/>
        <v>0</v>
      </c>
      <c r="AF75" s="552">
        <v>10</v>
      </c>
      <c r="AG75" s="553">
        <f>Input!R14</f>
        <v>0</v>
      </c>
      <c r="AH75" s="553">
        <f t="shared" ref="AH75:AH100" si="64">IF(AG75=0,0,3.281*(1.37+50.2*(1-EXP(-0.0118*(AF75*2.54)^1.1535))))</f>
        <v>0</v>
      </c>
      <c r="AI75" s="564">
        <f t="shared" si="60"/>
        <v>0</v>
      </c>
      <c r="AJ75" s="553">
        <f t="shared" si="61"/>
        <v>0</v>
      </c>
      <c r="AK75" s="555">
        <f t="shared" si="62"/>
        <v>0</v>
      </c>
      <c r="AL75" s="157">
        <f t="shared" si="37"/>
        <v>0</v>
      </c>
      <c r="AM75" s="31">
        <f t="shared" si="38"/>
        <v>2</v>
      </c>
      <c r="AN75" s="157">
        <f t="shared" si="39"/>
        <v>0</v>
      </c>
      <c r="AO75" s="31" t="str">
        <f>IF(I75=0,"",ROUNDDOWN((J75-$J$69)/16-AN75,0))</f>
        <v/>
      </c>
      <c r="AP75" s="157">
        <f t="shared" si="40"/>
        <v>0</v>
      </c>
      <c r="AQ75" s="31" t="str">
        <f t="shared" si="43"/>
        <v/>
      </c>
      <c r="AR75" s="157">
        <f t="shared" si="41"/>
        <v>0</v>
      </c>
      <c r="AS75" s="31" t="str">
        <f t="shared" si="44"/>
        <v/>
      </c>
      <c r="AT75" s="157">
        <f t="shared" si="42"/>
        <v>0</v>
      </c>
      <c r="AU75" s="31" t="str">
        <f t="shared" si="45"/>
        <v/>
      </c>
    </row>
    <row r="76" spans="2:47" x14ac:dyDescent="0.2">
      <c r="B76" s="16">
        <v>11</v>
      </c>
      <c r="C76" s="73">
        <f>Input!H15</f>
        <v>0</v>
      </c>
      <c r="D76" s="73">
        <f t="shared" si="46"/>
        <v>0</v>
      </c>
      <c r="E76" s="73">
        <f t="shared" si="47"/>
        <v>0</v>
      </c>
      <c r="F76" s="73">
        <f t="shared" si="31"/>
        <v>0</v>
      </c>
      <c r="G76" s="155">
        <f t="shared" si="48"/>
        <v>0</v>
      </c>
      <c r="H76" s="140">
        <v>11</v>
      </c>
      <c r="I76" s="140">
        <f>Input!J15</f>
        <v>0</v>
      </c>
      <c r="J76" s="140">
        <f t="shared" si="49"/>
        <v>0</v>
      </c>
      <c r="K76" s="140">
        <f t="shared" si="50"/>
        <v>0</v>
      </c>
      <c r="L76" s="140">
        <f t="shared" si="32"/>
        <v>0</v>
      </c>
      <c r="M76" s="158">
        <f t="shared" si="51"/>
        <v>0</v>
      </c>
      <c r="N76" s="74">
        <v>11</v>
      </c>
      <c r="O76" s="75">
        <f>Input!L15</f>
        <v>0</v>
      </c>
      <c r="P76" s="75">
        <f t="shared" si="52"/>
        <v>0</v>
      </c>
      <c r="Q76" s="75">
        <f t="shared" si="53"/>
        <v>0</v>
      </c>
      <c r="R76" s="75">
        <f t="shared" si="33"/>
        <v>0</v>
      </c>
      <c r="S76" s="160">
        <f t="shared" si="54"/>
        <v>0</v>
      </c>
      <c r="T76" s="77">
        <v>11</v>
      </c>
      <c r="U76" s="78">
        <f>Input!N15</f>
        <v>0</v>
      </c>
      <c r="V76" s="78">
        <f t="shared" si="55"/>
        <v>0</v>
      </c>
      <c r="W76" s="78">
        <f t="shared" si="56"/>
        <v>0</v>
      </c>
      <c r="X76" s="78">
        <f t="shared" si="34"/>
        <v>0</v>
      </c>
      <c r="Y76" s="162">
        <f t="shared" si="57"/>
        <v>0</v>
      </c>
      <c r="Z76" s="79">
        <v>11</v>
      </c>
      <c r="AA76" s="80">
        <f>Input!P15</f>
        <v>0</v>
      </c>
      <c r="AB76" s="80">
        <f t="shared" si="58"/>
        <v>0</v>
      </c>
      <c r="AC76" s="80">
        <f t="shared" si="63"/>
        <v>0</v>
      </c>
      <c r="AD76" s="80">
        <f t="shared" si="35"/>
        <v>0</v>
      </c>
      <c r="AE76" s="80">
        <f t="shared" si="59"/>
        <v>0</v>
      </c>
      <c r="AF76" s="552">
        <v>11</v>
      </c>
      <c r="AG76" s="553">
        <f>Input!R15</f>
        <v>0</v>
      </c>
      <c r="AH76" s="553">
        <f t="shared" si="64"/>
        <v>0</v>
      </c>
      <c r="AI76" s="564">
        <f t="shared" si="60"/>
        <v>0</v>
      </c>
      <c r="AJ76" s="553">
        <f t="shared" si="61"/>
        <v>0</v>
      </c>
      <c r="AK76" s="555">
        <f t="shared" si="62"/>
        <v>0</v>
      </c>
      <c r="AL76" s="157">
        <f t="shared" si="37"/>
        <v>0</v>
      </c>
      <c r="AM76" s="31" t="str">
        <f t="shared" si="38"/>
        <v/>
      </c>
      <c r="AN76" s="157">
        <f t="shared" si="39"/>
        <v>0</v>
      </c>
      <c r="AO76" s="31" t="str">
        <f t="shared" ref="AO76:AO100" si="65">IF(I76=0,"",ROUNDDOWN((J76-$J$69)/16-AN76,0))</f>
        <v/>
      </c>
      <c r="AP76" s="157">
        <f t="shared" si="40"/>
        <v>0</v>
      </c>
      <c r="AQ76" s="31" t="str">
        <f t="shared" si="43"/>
        <v/>
      </c>
      <c r="AR76" s="157">
        <f t="shared" si="41"/>
        <v>0</v>
      </c>
      <c r="AS76" s="31" t="str">
        <f t="shared" si="44"/>
        <v/>
      </c>
      <c r="AT76" s="157">
        <f t="shared" si="42"/>
        <v>0</v>
      </c>
      <c r="AU76" s="31" t="str">
        <f t="shared" si="45"/>
        <v/>
      </c>
    </row>
    <row r="77" spans="2:47" x14ac:dyDescent="0.2">
      <c r="B77" s="16">
        <v>12</v>
      </c>
      <c r="C77" s="73">
        <f>Input!H16</f>
        <v>1</v>
      </c>
      <c r="D77" s="73">
        <f t="shared" si="46"/>
        <v>75.125500715380156</v>
      </c>
      <c r="E77" s="73">
        <f t="shared" si="47"/>
        <v>22.065378846941297</v>
      </c>
      <c r="F77" s="73">
        <f t="shared" si="31"/>
        <v>22.065378846941297</v>
      </c>
      <c r="G77" s="155">
        <f t="shared" si="48"/>
        <v>0.24693726481544073</v>
      </c>
      <c r="H77" s="140">
        <v>12</v>
      </c>
      <c r="I77" s="140">
        <f>Input!J16</f>
        <v>0</v>
      </c>
      <c r="J77" s="140">
        <f t="shared" si="49"/>
        <v>0</v>
      </c>
      <c r="K77" s="140">
        <f t="shared" si="50"/>
        <v>0</v>
      </c>
      <c r="L77" s="140">
        <f t="shared" si="32"/>
        <v>0</v>
      </c>
      <c r="M77" s="158">
        <f t="shared" si="51"/>
        <v>0</v>
      </c>
      <c r="N77" s="74">
        <v>12</v>
      </c>
      <c r="O77" s="75">
        <f>Input!L16</f>
        <v>0</v>
      </c>
      <c r="P77" s="75">
        <f t="shared" si="52"/>
        <v>0</v>
      </c>
      <c r="Q77" s="75">
        <f t="shared" si="53"/>
        <v>0</v>
      </c>
      <c r="R77" s="75">
        <f t="shared" si="33"/>
        <v>0</v>
      </c>
      <c r="S77" s="160">
        <f t="shared" si="54"/>
        <v>0</v>
      </c>
      <c r="T77" s="77">
        <v>12</v>
      </c>
      <c r="U77" s="78">
        <f>Input!N16</f>
        <v>0</v>
      </c>
      <c r="V77" s="78">
        <f t="shared" si="55"/>
        <v>0</v>
      </c>
      <c r="W77" s="78">
        <f t="shared" si="56"/>
        <v>0</v>
      </c>
      <c r="X77" s="78">
        <f t="shared" si="34"/>
        <v>0</v>
      </c>
      <c r="Y77" s="162">
        <f t="shared" si="57"/>
        <v>0</v>
      </c>
      <c r="Z77" s="79">
        <v>12</v>
      </c>
      <c r="AA77" s="80">
        <f>Input!P16</f>
        <v>0</v>
      </c>
      <c r="AB77" s="80">
        <f t="shared" si="58"/>
        <v>0</v>
      </c>
      <c r="AC77" s="80">
        <f t="shared" si="63"/>
        <v>0</v>
      </c>
      <c r="AD77" s="80">
        <f t="shared" si="35"/>
        <v>0</v>
      </c>
      <c r="AE77" s="80">
        <f t="shared" si="59"/>
        <v>0</v>
      </c>
      <c r="AF77" s="552">
        <v>12</v>
      </c>
      <c r="AG77" s="553">
        <f>Input!R16</f>
        <v>0</v>
      </c>
      <c r="AH77" s="553">
        <f t="shared" si="64"/>
        <v>0</v>
      </c>
      <c r="AI77" s="564">
        <f t="shared" si="60"/>
        <v>0</v>
      </c>
      <c r="AJ77" s="553">
        <f t="shared" si="61"/>
        <v>0</v>
      </c>
      <c r="AK77" s="555">
        <f t="shared" si="62"/>
        <v>0</v>
      </c>
      <c r="AL77" s="157">
        <f t="shared" si="37"/>
        <v>0</v>
      </c>
      <c r="AM77" s="31">
        <f t="shared" si="38"/>
        <v>3</v>
      </c>
      <c r="AN77" s="157">
        <f t="shared" si="39"/>
        <v>0</v>
      </c>
      <c r="AO77" s="31" t="str">
        <f t="shared" si="65"/>
        <v/>
      </c>
      <c r="AP77" s="157">
        <f t="shared" si="40"/>
        <v>0</v>
      </c>
      <c r="AQ77" s="31" t="str">
        <f t="shared" si="43"/>
        <v/>
      </c>
      <c r="AR77" s="157">
        <f t="shared" si="41"/>
        <v>0</v>
      </c>
      <c r="AS77" s="31" t="str">
        <f t="shared" si="44"/>
        <v/>
      </c>
      <c r="AT77" s="157">
        <f t="shared" si="42"/>
        <v>0</v>
      </c>
      <c r="AU77" s="31" t="str">
        <f t="shared" si="45"/>
        <v/>
      </c>
    </row>
    <row r="78" spans="2:47" x14ac:dyDescent="0.2">
      <c r="B78" s="16">
        <v>13</v>
      </c>
      <c r="C78" s="73">
        <f>Input!H17</f>
        <v>0</v>
      </c>
      <c r="D78" s="73">
        <f t="shared" si="46"/>
        <v>0</v>
      </c>
      <c r="E78" s="73">
        <f t="shared" si="47"/>
        <v>0</v>
      </c>
      <c r="F78" s="73">
        <f t="shared" si="31"/>
        <v>0</v>
      </c>
      <c r="G78" s="155">
        <f t="shared" si="48"/>
        <v>0</v>
      </c>
      <c r="H78" s="140">
        <v>13</v>
      </c>
      <c r="I78" s="140">
        <f>Input!J17</f>
        <v>0</v>
      </c>
      <c r="J78" s="140">
        <f t="shared" si="49"/>
        <v>0</v>
      </c>
      <c r="K78" s="140">
        <f t="shared" si="50"/>
        <v>0</v>
      </c>
      <c r="L78" s="140">
        <f t="shared" si="32"/>
        <v>0</v>
      </c>
      <c r="M78" s="158">
        <f t="shared" si="51"/>
        <v>0</v>
      </c>
      <c r="N78" s="74">
        <v>13</v>
      </c>
      <c r="O78" s="75">
        <f>Input!L17</f>
        <v>0</v>
      </c>
      <c r="P78" s="75">
        <f t="shared" si="52"/>
        <v>0</v>
      </c>
      <c r="Q78" s="75">
        <f t="shared" si="53"/>
        <v>0</v>
      </c>
      <c r="R78" s="75">
        <f t="shared" si="33"/>
        <v>0</v>
      </c>
      <c r="S78" s="160">
        <f t="shared" si="54"/>
        <v>0</v>
      </c>
      <c r="T78" s="77">
        <v>13</v>
      </c>
      <c r="U78" s="78">
        <f>Input!N17</f>
        <v>0</v>
      </c>
      <c r="V78" s="78">
        <f t="shared" si="55"/>
        <v>0</v>
      </c>
      <c r="W78" s="78">
        <f t="shared" si="56"/>
        <v>0</v>
      </c>
      <c r="X78" s="78">
        <f t="shared" si="34"/>
        <v>0</v>
      </c>
      <c r="Y78" s="162">
        <f t="shared" si="57"/>
        <v>0</v>
      </c>
      <c r="Z78" s="79">
        <v>13</v>
      </c>
      <c r="AA78" s="80">
        <f>Input!P17</f>
        <v>0</v>
      </c>
      <c r="AB78" s="80">
        <f t="shared" si="58"/>
        <v>0</v>
      </c>
      <c r="AC78" s="80">
        <f t="shared" si="63"/>
        <v>0</v>
      </c>
      <c r="AD78" s="80">
        <f t="shared" si="35"/>
        <v>0</v>
      </c>
      <c r="AE78" s="80">
        <f t="shared" si="59"/>
        <v>0</v>
      </c>
      <c r="AF78" s="552">
        <v>13</v>
      </c>
      <c r="AG78" s="553">
        <f>Input!R17</f>
        <v>0</v>
      </c>
      <c r="AH78" s="553">
        <f t="shared" si="64"/>
        <v>0</v>
      </c>
      <c r="AI78" s="564">
        <f t="shared" si="60"/>
        <v>0</v>
      </c>
      <c r="AJ78" s="553">
        <f t="shared" si="61"/>
        <v>0</v>
      </c>
      <c r="AK78" s="555">
        <f t="shared" si="62"/>
        <v>0</v>
      </c>
      <c r="AL78" s="157">
        <f t="shared" si="37"/>
        <v>0</v>
      </c>
      <c r="AM78" s="31" t="str">
        <f t="shared" si="38"/>
        <v/>
      </c>
      <c r="AN78" s="157">
        <f t="shared" si="39"/>
        <v>0</v>
      </c>
      <c r="AO78" s="31" t="str">
        <f t="shared" si="65"/>
        <v/>
      </c>
      <c r="AP78" s="157">
        <f t="shared" si="40"/>
        <v>0</v>
      </c>
      <c r="AQ78" s="31" t="str">
        <f t="shared" si="43"/>
        <v/>
      </c>
      <c r="AR78" s="157">
        <f t="shared" si="41"/>
        <v>0</v>
      </c>
      <c r="AS78" s="31" t="str">
        <f t="shared" si="44"/>
        <v/>
      </c>
      <c r="AT78" s="157">
        <f t="shared" si="42"/>
        <v>0</v>
      </c>
      <c r="AU78" s="31" t="str">
        <f t="shared" si="45"/>
        <v/>
      </c>
    </row>
    <row r="79" spans="2:47" x14ac:dyDescent="0.2">
      <c r="B79" s="16">
        <v>14</v>
      </c>
      <c r="C79" s="73">
        <f>Input!H18</f>
        <v>9.6999999999999993</v>
      </c>
      <c r="D79" s="73">
        <f t="shared" si="46"/>
        <v>84.996961694719928</v>
      </c>
      <c r="E79" s="73">
        <f t="shared" si="47"/>
        <v>34.212753713328446</v>
      </c>
      <c r="F79" s="73">
        <f t="shared" si="31"/>
        <v>331.86371101928592</v>
      </c>
      <c r="G79" s="155">
        <f t="shared" si="48"/>
        <v>3.3963053959730978</v>
      </c>
      <c r="H79" s="140">
        <v>14</v>
      </c>
      <c r="I79" s="140">
        <f>Input!J18</f>
        <v>0</v>
      </c>
      <c r="J79" s="140">
        <f t="shared" si="49"/>
        <v>0</v>
      </c>
      <c r="K79" s="140">
        <f t="shared" si="50"/>
        <v>0</v>
      </c>
      <c r="L79" s="140">
        <f t="shared" si="32"/>
        <v>0</v>
      </c>
      <c r="M79" s="158">
        <f t="shared" si="51"/>
        <v>0</v>
      </c>
      <c r="N79" s="74">
        <v>14</v>
      </c>
      <c r="O79" s="75">
        <f>Input!L18</f>
        <v>0</v>
      </c>
      <c r="P79" s="75">
        <f t="shared" si="52"/>
        <v>0</v>
      </c>
      <c r="Q79" s="75">
        <f t="shared" si="53"/>
        <v>0</v>
      </c>
      <c r="R79" s="75">
        <f t="shared" si="33"/>
        <v>0</v>
      </c>
      <c r="S79" s="160">
        <f t="shared" si="54"/>
        <v>0</v>
      </c>
      <c r="T79" s="77">
        <v>14</v>
      </c>
      <c r="U79" s="78">
        <f>Input!N18</f>
        <v>0</v>
      </c>
      <c r="V79" s="78">
        <f t="shared" si="55"/>
        <v>0</v>
      </c>
      <c r="W79" s="78">
        <f t="shared" si="56"/>
        <v>0</v>
      </c>
      <c r="X79" s="78">
        <f t="shared" si="34"/>
        <v>0</v>
      </c>
      <c r="Y79" s="162">
        <f t="shared" si="57"/>
        <v>0</v>
      </c>
      <c r="Z79" s="79">
        <v>14</v>
      </c>
      <c r="AA79" s="80">
        <f>Input!P18</f>
        <v>0</v>
      </c>
      <c r="AB79" s="80">
        <f t="shared" si="58"/>
        <v>0</v>
      </c>
      <c r="AC79" s="80">
        <f t="shared" si="63"/>
        <v>0</v>
      </c>
      <c r="AD79" s="80">
        <f t="shared" si="35"/>
        <v>0</v>
      </c>
      <c r="AE79" s="80">
        <f t="shared" si="59"/>
        <v>0</v>
      </c>
      <c r="AF79" s="552">
        <v>14</v>
      </c>
      <c r="AG79" s="553">
        <f>Input!R18</f>
        <v>0</v>
      </c>
      <c r="AH79" s="553">
        <f t="shared" si="64"/>
        <v>0</v>
      </c>
      <c r="AI79" s="564">
        <f t="shared" si="60"/>
        <v>0</v>
      </c>
      <c r="AJ79" s="553">
        <f t="shared" si="61"/>
        <v>0</v>
      </c>
      <c r="AK79" s="555">
        <f t="shared" si="62"/>
        <v>0</v>
      </c>
      <c r="AL79" s="157">
        <f t="shared" si="37"/>
        <v>0</v>
      </c>
      <c r="AM79" s="31">
        <f t="shared" si="38"/>
        <v>3</v>
      </c>
      <c r="AN79" s="157">
        <f t="shared" si="39"/>
        <v>0</v>
      </c>
      <c r="AO79" s="31" t="str">
        <f t="shared" si="65"/>
        <v/>
      </c>
      <c r="AP79" s="157">
        <f t="shared" si="40"/>
        <v>0</v>
      </c>
      <c r="AQ79" s="31" t="str">
        <f t="shared" si="43"/>
        <v/>
      </c>
      <c r="AR79" s="157">
        <f t="shared" si="41"/>
        <v>0</v>
      </c>
      <c r="AS79" s="31" t="str">
        <f t="shared" si="44"/>
        <v/>
      </c>
      <c r="AT79" s="157">
        <f t="shared" si="42"/>
        <v>0</v>
      </c>
      <c r="AU79" s="31" t="str">
        <f t="shared" si="45"/>
        <v/>
      </c>
    </row>
    <row r="80" spans="2:47" x14ac:dyDescent="0.2">
      <c r="B80" s="16">
        <v>15</v>
      </c>
      <c r="C80" s="73">
        <f>Input!H19</f>
        <v>0</v>
      </c>
      <c r="D80" s="73">
        <f t="shared" si="46"/>
        <v>0</v>
      </c>
      <c r="E80" s="73">
        <f t="shared" si="47"/>
        <v>0</v>
      </c>
      <c r="F80" s="73">
        <f t="shared" si="31"/>
        <v>0</v>
      </c>
      <c r="G80" s="155">
        <f t="shared" si="48"/>
        <v>0</v>
      </c>
      <c r="H80" s="140">
        <v>15</v>
      </c>
      <c r="I80" s="140">
        <f>Input!J19</f>
        <v>0</v>
      </c>
      <c r="J80" s="140">
        <f t="shared" si="49"/>
        <v>0</v>
      </c>
      <c r="K80" s="140">
        <f t="shared" si="50"/>
        <v>0</v>
      </c>
      <c r="L80" s="140">
        <f t="shared" si="32"/>
        <v>0</v>
      </c>
      <c r="M80" s="158">
        <f t="shared" si="51"/>
        <v>0</v>
      </c>
      <c r="N80" s="74">
        <v>15</v>
      </c>
      <c r="O80" s="75">
        <f>Input!L19</f>
        <v>0</v>
      </c>
      <c r="P80" s="75">
        <f t="shared" si="52"/>
        <v>0</v>
      </c>
      <c r="Q80" s="75">
        <f t="shared" si="53"/>
        <v>0</v>
      </c>
      <c r="R80" s="75">
        <f t="shared" si="33"/>
        <v>0</v>
      </c>
      <c r="S80" s="160">
        <f t="shared" si="54"/>
        <v>0</v>
      </c>
      <c r="T80" s="77">
        <v>15</v>
      </c>
      <c r="U80" s="78">
        <f>Input!N19</f>
        <v>0</v>
      </c>
      <c r="V80" s="78">
        <f t="shared" si="55"/>
        <v>0</v>
      </c>
      <c r="W80" s="78">
        <f t="shared" si="56"/>
        <v>0</v>
      </c>
      <c r="X80" s="78">
        <f t="shared" si="34"/>
        <v>0</v>
      </c>
      <c r="Y80" s="162">
        <f t="shared" si="57"/>
        <v>0</v>
      </c>
      <c r="Z80" s="79">
        <v>15</v>
      </c>
      <c r="AA80" s="80">
        <f>Input!P19</f>
        <v>0</v>
      </c>
      <c r="AB80" s="80">
        <f t="shared" si="58"/>
        <v>0</v>
      </c>
      <c r="AC80" s="80">
        <f t="shared" si="63"/>
        <v>0</v>
      </c>
      <c r="AD80" s="80">
        <f t="shared" si="35"/>
        <v>0</v>
      </c>
      <c r="AE80" s="80">
        <f t="shared" si="59"/>
        <v>0</v>
      </c>
      <c r="AF80" s="552">
        <v>15</v>
      </c>
      <c r="AG80" s="553">
        <f>Input!R19</f>
        <v>0</v>
      </c>
      <c r="AH80" s="553">
        <f t="shared" si="64"/>
        <v>0</v>
      </c>
      <c r="AI80" s="564">
        <f t="shared" si="60"/>
        <v>0</v>
      </c>
      <c r="AJ80" s="553">
        <f t="shared" si="61"/>
        <v>0</v>
      </c>
      <c r="AK80" s="555">
        <f t="shared" si="62"/>
        <v>0</v>
      </c>
      <c r="AL80" s="157">
        <f t="shared" si="37"/>
        <v>0</v>
      </c>
      <c r="AM80" s="31" t="str">
        <f t="shared" si="38"/>
        <v/>
      </c>
      <c r="AN80" s="157">
        <f t="shared" si="39"/>
        <v>0</v>
      </c>
      <c r="AO80" s="31" t="str">
        <f t="shared" si="65"/>
        <v/>
      </c>
      <c r="AP80" s="157">
        <f t="shared" si="40"/>
        <v>0</v>
      </c>
      <c r="AQ80" s="31" t="str">
        <f t="shared" si="43"/>
        <v/>
      </c>
      <c r="AR80" s="157">
        <f t="shared" si="41"/>
        <v>0</v>
      </c>
      <c r="AS80" s="31" t="str">
        <f t="shared" si="44"/>
        <v/>
      </c>
      <c r="AT80" s="157">
        <f t="shared" si="42"/>
        <v>0</v>
      </c>
      <c r="AU80" s="31" t="str">
        <f t="shared" si="45"/>
        <v/>
      </c>
    </row>
    <row r="81" spans="2:47" x14ac:dyDescent="0.2">
      <c r="B81" s="16">
        <v>16</v>
      </c>
      <c r="C81" s="73">
        <f>Input!H20</f>
        <v>0</v>
      </c>
      <c r="D81" s="73">
        <f t="shared" si="46"/>
        <v>0</v>
      </c>
      <c r="E81" s="73">
        <f t="shared" si="47"/>
        <v>0</v>
      </c>
      <c r="F81" s="73">
        <f t="shared" si="31"/>
        <v>0</v>
      </c>
      <c r="G81" s="155">
        <f t="shared" si="48"/>
        <v>0</v>
      </c>
      <c r="H81" s="140">
        <v>16</v>
      </c>
      <c r="I81" s="140">
        <f>Input!J20</f>
        <v>0</v>
      </c>
      <c r="J81" s="140">
        <f t="shared" si="49"/>
        <v>0</v>
      </c>
      <c r="K81" s="140">
        <f t="shared" si="50"/>
        <v>0</v>
      </c>
      <c r="L81" s="140">
        <f t="shared" si="32"/>
        <v>0</v>
      </c>
      <c r="M81" s="158">
        <f t="shared" si="51"/>
        <v>0</v>
      </c>
      <c r="N81" s="74">
        <v>16</v>
      </c>
      <c r="O81" s="75">
        <f>Input!L20</f>
        <v>0</v>
      </c>
      <c r="P81" s="75">
        <f t="shared" si="52"/>
        <v>0</v>
      </c>
      <c r="Q81" s="75">
        <f t="shared" si="53"/>
        <v>0</v>
      </c>
      <c r="R81" s="75">
        <f t="shared" si="33"/>
        <v>0</v>
      </c>
      <c r="S81" s="160">
        <f t="shared" si="54"/>
        <v>0</v>
      </c>
      <c r="T81" s="77">
        <v>16</v>
      </c>
      <c r="U81" s="78">
        <f>Input!N20</f>
        <v>0</v>
      </c>
      <c r="V81" s="78">
        <f t="shared" si="55"/>
        <v>0</v>
      </c>
      <c r="W81" s="78">
        <f t="shared" si="56"/>
        <v>0</v>
      </c>
      <c r="X81" s="78">
        <f t="shared" si="34"/>
        <v>0</v>
      </c>
      <c r="Y81" s="162">
        <f t="shared" si="57"/>
        <v>0</v>
      </c>
      <c r="Z81" s="79">
        <v>16</v>
      </c>
      <c r="AA81" s="80">
        <f>Input!P20</f>
        <v>0</v>
      </c>
      <c r="AB81" s="80">
        <f t="shared" si="58"/>
        <v>0</v>
      </c>
      <c r="AC81" s="80">
        <f t="shared" si="63"/>
        <v>0</v>
      </c>
      <c r="AD81" s="80">
        <f t="shared" si="35"/>
        <v>0</v>
      </c>
      <c r="AE81" s="80">
        <f t="shared" si="59"/>
        <v>0</v>
      </c>
      <c r="AF81" s="552">
        <v>16</v>
      </c>
      <c r="AG81" s="553">
        <f>Input!R20</f>
        <v>0</v>
      </c>
      <c r="AH81" s="553">
        <f t="shared" si="64"/>
        <v>0</v>
      </c>
      <c r="AI81" s="564">
        <f t="shared" si="60"/>
        <v>0</v>
      </c>
      <c r="AJ81" s="553">
        <f t="shared" si="61"/>
        <v>0</v>
      </c>
      <c r="AK81" s="555">
        <f t="shared" si="62"/>
        <v>0</v>
      </c>
      <c r="AL81" s="157">
        <f t="shared" si="37"/>
        <v>0</v>
      </c>
      <c r="AM81" s="31" t="str">
        <f>IF(C81=0,"",ROUNDDOWN((D81-$D$69)/16-AL81,0))</f>
        <v/>
      </c>
      <c r="AN81" s="157">
        <f t="shared" si="39"/>
        <v>0</v>
      </c>
      <c r="AO81" s="31" t="str">
        <f t="shared" si="65"/>
        <v/>
      </c>
      <c r="AP81" s="157">
        <f t="shared" si="40"/>
        <v>0</v>
      </c>
      <c r="AQ81" s="31" t="str">
        <f t="shared" si="43"/>
        <v/>
      </c>
      <c r="AR81" s="157">
        <f t="shared" si="41"/>
        <v>0</v>
      </c>
      <c r="AS81" s="31" t="str">
        <f t="shared" si="44"/>
        <v/>
      </c>
      <c r="AT81" s="157">
        <f t="shared" si="42"/>
        <v>0</v>
      </c>
      <c r="AU81" s="31" t="str">
        <f t="shared" si="45"/>
        <v/>
      </c>
    </row>
    <row r="82" spans="2:47" x14ac:dyDescent="0.2">
      <c r="B82" s="16">
        <v>17</v>
      </c>
      <c r="C82" s="73">
        <f>Input!H21</f>
        <v>0</v>
      </c>
      <c r="D82" s="73">
        <f t="shared" si="46"/>
        <v>0</v>
      </c>
      <c r="E82" s="73">
        <f t="shared" si="47"/>
        <v>0</v>
      </c>
      <c r="F82" s="73">
        <f t="shared" si="31"/>
        <v>0</v>
      </c>
      <c r="G82" s="155">
        <f t="shared" si="48"/>
        <v>0</v>
      </c>
      <c r="H82" s="140">
        <v>17</v>
      </c>
      <c r="I82" s="140">
        <f>Input!J21</f>
        <v>0</v>
      </c>
      <c r="J82" s="140">
        <f t="shared" si="49"/>
        <v>0</v>
      </c>
      <c r="K82" s="140">
        <f t="shared" si="50"/>
        <v>0</v>
      </c>
      <c r="L82" s="140">
        <f t="shared" si="32"/>
        <v>0</v>
      </c>
      <c r="M82" s="158">
        <f t="shared" si="51"/>
        <v>0</v>
      </c>
      <c r="N82" s="74">
        <v>17</v>
      </c>
      <c r="O82" s="75">
        <f>Input!L21</f>
        <v>0</v>
      </c>
      <c r="P82" s="75">
        <f t="shared" si="52"/>
        <v>0</v>
      </c>
      <c r="Q82" s="75">
        <f t="shared" si="53"/>
        <v>0</v>
      </c>
      <c r="R82" s="75">
        <f t="shared" si="33"/>
        <v>0</v>
      </c>
      <c r="S82" s="160">
        <f t="shared" si="54"/>
        <v>0</v>
      </c>
      <c r="T82" s="77">
        <v>17</v>
      </c>
      <c r="U82" s="78">
        <f>Input!N21</f>
        <v>0</v>
      </c>
      <c r="V82" s="78">
        <f t="shared" si="55"/>
        <v>0</v>
      </c>
      <c r="W82" s="78">
        <f t="shared" si="56"/>
        <v>0</v>
      </c>
      <c r="X82" s="78">
        <f t="shared" si="34"/>
        <v>0</v>
      </c>
      <c r="Y82" s="162">
        <f t="shared" si="57"/>
        <v>0</v>
      </c>
      <c r="Z82" s="79">
        <v>17</v>
      </c>
      <c r="AA82" s="80">
        <f>Input!P21</f>
        <v>0</v>
      </c>
      <c r="AB82" s="80">
        <f t="shared" si="58"/>
        <v>0</v>
      </c>
      <c r="AC82" s="80">
        <f t="shared" si="63"/>
        <v>0</v>
      </c>
      <c r="AD82" s="80">
        <f t="shared" si="35"/>
        <v>0</v>
      </c>
      <c r="AE82" s="80">
        <f t="shared" si="59"/>
        <v>0</v>
      </c>
      <c r="AF82" s="552">
        <v>17</v>
      </c>
      <c r="AG82" s="553">
        <f>Input!R21</f>
        <v>0</v>
      </c>
      <c r="AH82" s="553">
        <f t="shared" si="64"/>
        <v>0</v>
      </c>
      <c r="AI82" s="564">
        <f t="shared" si="60"/>
        <v>0</v>
      </c>
      <c r="AJ82" s="553">
        <f t="shared" si="61"/>
        <v>0</v>
      </c>
      <c r="AK82" s="555">
        <f t="shared" si="62"/>
        <v>0</v>
      </c>
      <c r="AL82" s="157">
        <f t="shared" si="37"/>
        <v>0</v>
      </c>
      <c r="AM82" s="31" t="str">
        <f t="shared" ref="AM82:AM100" si="66">IF(C82=0,"",ROUNDDOWN((D82-$D$69)/16-AL82,0))</f>
        <v/>
      </c>
      <c r="AN82" s="157">
        <f t="shared" si="39"/>
        <v>0</v>
      </c>
      <c r="AO82" s="31" t="str">
        <f t="shared" si="65"/>
        <v/>
      </c>
      <c r="AP82" s="157">
        <f t="shared" si="40"/>
        <v>0</v>
      </c>
      <c r="AQ82" s="31" t="str">
        <f t="shared" si="43"/>
        <v/>
      </c>
      <c r="AR82" s="157">
        <f t="shared" si="41"/>
        <v>0</v>
      </c>
      <c r="AS82" s="31" t="str">
        <f t="shared" si="44"/>
        <v/>
      </c>
      <c r="AT82" s="157">
        <f t="shared" si="42"/>
        <v>0</v>
      </c>
      <c r="AU82" s="31" t="str">
        <f t="shared" si="45"/>
        <v/>
      </c>
    </row>
    <row r="83" spans="2:47" x14ac:dyDescent="0.2">
      <c r="B83" s="16">
        <v>18</v>
      </c>
      <c r="C83" s="73">
        <f>Input!H22</f>
        <v>3.6</v>
      </c>
      <c r="D83" s="73">
        <f t="shared" si="46"/>
        <v>101.73493290803466</v>
      </c>
      <c r="E83" s="73">
        <f t="shared" si="47"/>
        <v>67.675515281240763</v>
      </c>
      <c r="F83" s="73">
        <f t="shared" si="31"/>
        <v>243.63185501246676</v>
      </c>
      <c r="G83" s="155">
        <f t="shared" si="48"/>
        <v>2.2788153086609269</v>
      </c>
      <c r="H83" s="140">
        <v>18</v>
      </c>
      <c r="I83" s="140">
        <f>Input!J22</f>
        <v>0</v>
      </c>
      <c r="J83" s="140">
        <f t="shared" si="49"/>
        <v>0</v>
      </c>
      <c r="K83" s="140">
        <f t="shared" si="50"/>
        <v>0</v>
      </c>
      <c r="L83" s="140">
        <f t="shared" si="32"/>
        <v>0</v>
      </c>
      <c r="M83" s="158">
        <f t="shared" si="51"/>
        <v>0</v>
      </c>
      <c r="N83" s="74">
        <v>18</v>
      </c>
      <c r="O83" s="75">
        <f>Input!L22</f>
        <v>0</v>
      </c>
      <c r="P83" s="75">
        <f t="shared" si="52"/>
        <v>0</v>
      </c>
      <c r="Q83" s="75">
        <f t="shared" si="53"/>
        <v>0</v>
      </c>
      <c r="R83" s="75">
        <f t="shared" si="33"/>
        <v>0</v>
      </c>
      <c r="S83" s="160">
        <f t="shared" si="54"/>
        <v>0</v>
      </c>
      <c r="T83" s="77">
        <v>18</v>
      </c>
      <c r="U83" s="78">
        <f>Input!N22</f>
        <v>0</v>
      </c>
      <c r="V83" s="78">
        <f t="shared" si="55"/>
        <v>0</v>
      </c>
      <c r="W83" s="78">
        <f t="shared" si="56"/>
        <v>0</v>
      </c>
      <c r="X83" s="78">
        <f t="shared" si="34"/>
        <v>0</v>
      </c>
      <c r="Y83" s="162">
        <f t="shared" si="57"/>
        <v>0</v>
      </c>
      <c r="Z83" s="79">
        <v>18</v>
      </c>
      <c r="AA83" s="80">
        <f>Input!P22</f>
        <v>0</v>
      </c>
      <c r="AB83" s="80">
        <f t="shared" si="58"/>
        <v>0</v>
      </c>
      <c r="AC83" s="80">
        <f t="shared" si="63"/>
        <v>0</v>
      </c>
      <c r="AD83" s="80">
        <f t="shared" si="35"/>
        <v>0</v>
      </c>
      <c r="AE83" s="80">
        <f t="shared" si="59"/>
        <v>0</v>
      </c>
      <c r="AF83" s="552">
        <v>18</v>
      </c>
      <c r="AG83" s="553">
        <f>Input!R22</f>
        <v>0</v>
      </c>
      <c r="AH83" s="553">
        <f t="shared" si="64"/>
        <v>0</v>
      </c>
      <c r="AI83" s="564">
        <f t="shared" si="60"/>
        <v>0</v>
      </c>
      <c r="AJ83" s="553">
        <f t="shared" si="61"/>
        <v>0</v>
      </c>
      <c r="AK83" s="555">
        <f t="shared" si="62"/>
        <v>0</v>
      </c>
      <c r="AL83" s="157">
        <f t="shared" si="37"/>
        <v>1</v>
      </c>
      <c r="AM83" s="31">
        <f t="shared" si="66"/>
        <v>3</v>
      </c>
      <c r="AN83" s="157">
        <f t="shared" si="39"/>
        <v>0</v>
      </c>
      <c r="AO83" s="31" t="str">
        <f t="shared" si="65"/>
        <v/>
      </c>
      <c r="AP83" s="157">
        <f t="shared" si="40"/>
        <v>0</v>
      </c>
      <c r="AQ83" s="31" t="str">
        <f t="shared" si="43"/>
        <v/>
      </c>
      <c r="AR83" s="157">
        <f t="shared" si="41"/>
        <v>0</v>
      </c>
      <c r="AS83" s="31" t="str">
        <f t="shared" si="44"/>
        <v/>
      </c>
      <c r="AT83" s="157">
        <f t="shared" si="42"/>
        <v>0</v>
      </c>
      <c r="AU83" s="31" t="str">
        <f t="shared" si="45"/>
        <v/>
      </c>
    </row>
    <row r="84" spans="2:47" x14ac:dyDescent="0.2">
      <c r="B84" s="16">
        <v>19</v>
      </c>
      <c r="C84" s="73">
        <f>Input!H23</f>
        <v>0</v>
      </c>
      <c r="D84" s="73">
        <f t="shared" si="46"/>
        <v>0</v>
      </c>
      <c r="E84" s="73">
        <f t="shared" si="47"/>
        <v>0</v>
      </c>
      <c r="F84" s="73">
        <f t="shared" si="31"/>
        <v>0</v>
      </c>
      <c r="G84" s="155">
        <f t="shared" si="48"/>
        <v>0</v>
      </c>
      <c r="H84" s="140">
        <v>19</v>
      </c>
      <c r="I84" s="140">
        <f>Input!J23</f>
        <v>0</v>
      </c>
      <c r="J84" s="140">
        <f t="shared" si="49"/>
        <v>0</v>
      </c>
      <c r="K84" s="140">
        <f t="shared" si="50"/>
        <v>0</v>
      </c>
      <c r="L84" s="140">
        <f t="shared" si="32"/>
        <v>0</v>
      </c>
      <c r="M84" s="158">
        <f t="shared" si="51"/>
        <v>0</v>
      </c>
      <c r="N84" s="74">
        <v>19</v>
      </c>
      <c r="O84" s="75">
        <f>Input!L23</f>
        <v>0</v>
      </c>
      <c r="P84" s="75">
        <f t="shared" si="52"/>
        <v>0</v>
      </c>
      <c r="Q84" s="75">
        <f t="shared" si="53"/>
        <v>0</v>
      </c>
      <c r="R84" s="75">
        <f t="shared" si="33"/>
        <v>0</v>
      </c>
      <c r="S84" s="160">
        <f t="shared" si="54"/>
        <v>0</v>
      </c>
      <c r="T84" s="77">
        <v>19</v>
      </c>
      <c r="U84" s="78">
        <f>Input!N23</f>
        <v>0</v>
      </c>
      <c r="V84" s="78">
        <f t="shared" si="55"/>
        <v>0</v>
      </c>
      <c r="W84" s="78">
        <f t="shared" si="56"/>
        <v>0</v>
      </c>
      <c r="X84" s="78">
        <f t="shared" si="34"/>
        <v>0</v>
      </c>
      <c r="Y84" s="162">
        <f t="shared" si="57"/>
        <v>0</v>
      </c>
      <c r="Z84" s="79">
        <v>19</v>
      </c>
      <c r="AA84" s="80">
        <f>Input!P23</f>
        <v>0</v>
      </c>
      <c r="AB84" s="80">
        <f t="shared" si="58"/>
        <v>0</v>
      </c>
      <c r="AC84" s="80">
        <f t="shared" si="63"/>
        <v>0</v>
      </c>
      <c r="AD84" s="80">
        <f t="shared" si="35"/>
        <v>0</v>
      </c>
      <c r="AE84" s="80">
        <f t="shared" si="59"/>
        <v>0</v>
      </c>
      <c r="AF84" s="552">
        <v>19</v>
      </c>
      <c r="AG84" s="553">
        <f>Input!R23</f>
        <v>0</v>
      </c>
      <c r="AH84" s="553">
        <f t="shared" si="64"/>
        <v>0</v>
      </c>
      <c r="AI84" s="564">
        <f t="shared" si="60"/>
        <v>0</v>
      </c>
      <c r="AJ84" s="553">
        <f t="shared" si="61"/>
        <v>0</v>
      </c>
      <c r="AK84" s="555">
        <f t="shared" si="62"/>
        <v>0</v>
      </c>
      <c r="AL84" s="157">
        <f t="shared" si="37"/>
        <v>0</v>
      </c>
      <c r="AM84" s="31" t="str">
        <f t="shared" si="66"/>
        <v/>
      </c>
      <c r="AN84" s="157">
        <f t="shared" si="39"/>
        <v>0</v>
      </c>
      <c r="AO84" s="31" t="str">
        <f t="shared" si="65"/>
        <v/>
      </c>
      <c r="AP84" s="157">
        <f t="shared" si="40"/>
        <v>0</v>
      </c>
      <c r="AQ84" s="31" t="str">
        <f t="shared" si="43"/>
        <v/>
      </c>
      <c r="AR84" s="157">
        <f t="shared" si="41"/>
        <v>0</v>
      </c>
      <c r="AS84" s="31" t="str">
        <f t="shared" si="44"/>
        <v/>
      </c>
      <c r="AT84" s="157">
        <f t="shared" si="42"/>
        <v>0</v>
      </c>
      <c r="AU84" s="31" t="str">
        <f t="shared" si="45"/>
        <v/>
      </c>
    </row>
    <row r="85" spans="2:47" x14ac:dyDescent="0.2">
      <c r="B85" s="16">
        <v>20</v>
      </c>
      <c r="C85" s="73">
        <f>Input!H24</f>
        <v>0</v>
      </c>
      <c r="D85" s="73">
        <f t="shared" si="46"/>
        <v>0</v>
      </c>
      <c r="E85" s="73">
        <f t="shared" si="47"/>
        <v>0</v>
      </c>
      <c r="F85" s="73">
        <f t="shared" si="31"/>
        <v>0</v>
      </c>
      <c r="G85" s="155">
        <f t="shared" si="48"/>
        <v>0</v>
      </c>
      <c r="H85" s="140">
        <v>20</v>
      </c>
      <c r="I85" s="140">
        <f>Input!J24</f>
        <v>0</v>
      </c>
      <c r="J85" s="140">
        <f t="shared" si="49"/>
        <v>0</v>
      </c>
      <c r="K85" s="140">
        <f t="shared" si="50"/>
        <v>0</v>
      </c>
      <c r="L85" s="140">
        <f t="shared" si="32"/>
        <v>0</v>
      </c>
      <c r="M85" s="158">
        <f t="shared" si="51"/>
        <v>0</v>
      </c>
      <c r="N85" s="74">
        <v>20</v>
      </c>
      <c r="O85" s="75">
        <f>Input!L24</f>
        <v>0</v>
      </c>
      <c r="P85" s="75">
        <f t="shared" si="52"/>
        <v>0</v>
      </c>
      <c r="Q85" s="75">
        <f t="shared" si="53"/>
        <v>0</v>
      </c>
      <c r="R85" s="75">
        <f t="shared" si="33"/>
        <v>0</v>
      </c>
      <c r="S85" s="160">
        <f t="shared" si="54"/>
        <v>0</v>
      </c>
      <c r="T85" s="77">
        <v>20</v>
      </c>
      <c r="U85" s="78">
        <f>Input!N24</f>
        <v>0</v>
      </c>
      <c r="V85" s="78">
        <f t="shared" si="55"/>
        <v>0</v>
      </c>
      <c r="W85" s="78">
        <f t="shared" si="56"/>
        <v>0</v>
      </c>
      <c r="X85" s="78">
        <f t="shared" si="34"/>
        <v>0</v>
      </c>
      <c r="Y85" s="162">
        <f t="shared" si="57"/>
        <v>0</v>
      </c>
      <c r="Z85" s="79">
        <v>20</v>
      </c>
      <c r="AA85" s="80">
        <f>Input!P24</f>
        <v>0</v>
      </c>
      <c r="AB85" s="80">
        <f t="shared" si="58"/>
        <v>0</v>
      </c>
      <c r="AC85" s="80">
        <f t="shared" si="63"/>
        <v>0</v>
      </c>
      <c r="AD85" s="80">
        <f t="shared" si="35"/>
        <v>0</v>
      </c>
      <c r="AE85" s="80">
        <f t="shared" si="59"/>
        <v>0</v>
      </c>
      <c r="AF85" s="552">
        <v>20</v>
      </c>
      <c r="AG85" s="553">
        <f>Input!R24</f>
        <v>0</v>
      </c>
      <c r="AH85" s="553">
        <f t="shared" si="64"/>
        <v>0</v>
      </c>
      <c r="AI85" s="564">
        <f t="shared" si="60"/>
        <v>0</v>
      </c>
      <c r="AJ85" s="553">
        <f t="shared" si="61"/>
        <v>0</v>
      </c>
      <c r="AK85" s="555">
        <f t="shared" si="62"/>
        <v>0</v>
      </c>
      <c r="AL85" s="157">
        <f t="shared" si="37"/>
        <v>0</v>
      </c>
      <c r="AM85" s="31" t="str">
        <f t="shared" si="66"/>
        <v/>
      </c>
      <c r="AN85" s="157">
        <f t="shared" si="39"/>
        <v>0</v>
      </c>
      <c r="AO85" s="31" t="str">
        <f t="shared" si="65"/>
        <v/>
      </c>
      <c r="AP85" s="157">
        <f t="shared" si="40"/>
        <v>0</v>
      </c>
      <c r="AQ85" s="31" t="str">
        <f t="shared" si="43"/>
        <v/>
      </c>
      <c r="AR85" s="157">
        <f t="shared" si="41"/>
        <v>0</v>
      </c>
      <c r="AS85" s="31" t="str">
        <f t="shared" si="44"/>
        <v/>
      </c>
      <c r="AT85" s="157">
        <f t="shared" si="42"/>
        <v>0</v>
      </c>
      <c r="AU85" s="31" t="str">
        <f t="shared" si="45"/>
        <v/>
      </c>
    </row>
    <row r="86" spans="2:47" x14ac:dyDescent="0.2">
      <c r="B86" s="16">
        <v>21</v>
      </c>
      <c r="C86" s="73">
        <f>Input!H25</f>
        <v>0</v>
      </c>
      <c r="D86" s="73">
        <f t="shared" si="46"/>
        <v>0</v>
      </c>
      <c r="E86" s="73">
        <f t="shared" si="47"/>
        <v>0</v>
      </c>
      <c r="F86" s="73">
        <f t="shared" si="31"/>
        <v>0</v>
      </c>
      <c r="G86" s="155">
        <f t="shared" si="48"/>
        <v>0</v>
      </c>
      <c r="H86" s="140">
        <v>21</v>
      </c>
      <c r="I86" s="140">
        <f>Input!J25</f>
        <v>0</v>
      </c>
      <c r="J86" s="140">
        <f t="shared" si="49"/>
        <v>0</v>
      </c>
      <c r="K86" s="140">
        <f t="shared" si="50"/>
        <v>0</v>
      </c>
      <c r="L86" s="140">
        <f t="shared" si="32"/>
        <v>0</v>
      </c>
      <c r="M86" s="158">
        <f t="shared" si="51"/>
        <v>0</v>
      </c>
      <c r="N86" s="74">
        <v>21</v>
      </c>
      <c r="O86" s="75">
        <f>Input!L25</f>
        <v>0</v>
      </c>
      <c r="P86" s="75">
        <f t="shared" si="52"/>
        <v>0</v>
      </c>
      <c r="Q86" s="75">
        <f t="shared" si="53"/>
        <v>0</v>
      </c>
      <c r="R86" s="75">
        <f t="shared" si="33"/>
        <v>0</v>
      </c>
      <c r="S86" s="160">
        <f t="shared" si="54"/>
        <v>0</v>
      </c>
      <c r="T86" s="77">
        <v>21</v>
      </c>
      <c r="U86" s="78">
        <f>Input!N25</f>
        <v>0</v>
      </c>
      <c r="V86" s="78">
        <f t="shared" si="55"/>
        <v>0</v>
      </c>
      <c r="W86" s="78">
        <f t="shared" si="56"/>
        <v>0</v>
      </c>
      <c r="X86" s="78">
        <f t="shared" si="34"/>
        <v>0</v>
      </c>
      <c r="Y86" s="162">
        <f t="shared" si="57"/>
        <v>0</v>
      </c>
      <c r="Z86" s="79">
        <v>21</v>
      </c>
      <c r="AA86" s="80">
        <f>Input!P25</f>
        <v>0</v>
      </c>
      <c r="AB86" s="80">
        <f t="shared" si="58"/>
        <v>0</v>
      </c>
      <c r="AC86" s="80">
        <f t="shared" si="63"/>
        <v>0</v>
      </c>
      <c r="AD86" s="80">
        <f t="shared" si="35"/>
        <v>0</v>
      </c>
      <c r="AE86" s="80">
        <f t="shared" si="59"/>
        <v>0</v>
      </c>
      <c r="AF86" s="552">
        <v>21</v>
      </c>
      <c r="AG86" s="553">
        <f>Input!R25</f>
        <v>0</v>
      </c>
      <c r="AH86" s="553">
        <f t="shared" si="64"/>
        <v>0</v>
      </c>
      <c r="AI86" s="564">
        <f t="shared" si="60"/>
        <v>0</v>
      </c>
      <c r="AJ86" s="553">
        <f t="shared" si="61"/>
        <v>0</v>
      </c>
      <c r="AK86" s="555">
        <f t="shared" si="62"/>
        <v>0</v>
      </c>
      <c r="AL86" s="157">
        <f t="shared" si="37"/>
        <v>0</v>
      </c>
      <c r="AM86" s="31" t="str">
        <f t="shared" si="66"/>
        <v/>
      </c>
      <c r="AN86" s="157">
        <f t="shared" si="39"/>
        <v>0</v>
      </c>
      <c r="AO86" s="31" t="str">
        <f t="shared" si="65"/>
        <v/>
      </c>
      <c r="AP86" s="157">
        <f t="shared" si="40"/>
        <v>0</v>
      </c>
      <c r="AQ86" s="31" t="str">
        <f t="shared" si="43"/>
        <v/>
      </c>
      <c r="AR86" s="157">
        <f t="shared" si="41"/>
        <v>0</v>
      </c>
      <c r="AS86" s="31" t="str">
        <f t="shared" si="44"/>
        <v/>
      </c>
      <c r="AT86" s="157">
        <f t="shared" si="42"/>
        <v>0</v>
      </c>
      <c r="AU86" s="31" t="str">
        <f t="shared" si="45"/>
        <v/>
      </c>
    </row>
    <row r="87" spans="2:47" x14ac:dyDescent="0.2">
      <c r="B87" s="16">
        <v>22</v>
      </c>
      <c r="C87" s="73">
        <f>Input!H26</f>
        <v>3.6</v>
      </c>
      <c r="D87" s="73">
        <f t="shared" si="46"/>
        <v>115.41516694149576</v>
      </c>
      <c r="E87" s="73">
        <f t="shared" si="47"/>
        <v>114.07963951933708</v>
      </c>
      <c r="F87" s="73">
        <f t="shared" si="31"/>
        <v>410.68670226961348</v>
      </c>
      <c r="G87" s="155">
        <f t="shared" si="48"/>
        <v>3.7004344085804104</v>
      </c>
      <c r="H87" s="140">
        <v>22</v>
      </c>
      <c r="I87" s="140">
        <f>Input!J26</f>
        <v>0</v>
      </c>
      <c r="J87" s="140">
        <f t="shared" si="49"/>
        <v>0</v>
      </c>
      <c r="K87" s="140">
        <f t="shared" si="50"/>
        <v>0</v>
      </c>
      <c r="L87" s="140">
        <f t="shared" si="32"/>
        <v>0</v>
      </c>
      <c r="M87" s="158">
        <f t="shared" si="51"/>
        <v>0</v>
      </c>
      <c r="N87" s="74">
        <v>22</v>
      </c>
      <c r="O87" s="75">
        <f>Input!L26</f>
        <v>0</v>
      </c>
      <c r="P87" s="75">
        <f t="shared" si="52"/>
        <v>0</v>
      </c>
      <c r="Q87" s="75">
        <f t="shared" si="53"/>
        <v>0</v>
      </c>
      <c r="R87" s="75">
        <f t="shared" si="33"/>
        <v>0</v>
      </c>
      <c r="S87" s="160">
        <f t="shared" si="54"/>
        <v>0</v>
      </c>
      <c r="T87" s="77">
        <v>22</v>
      </c>
      <c r="U87" s="78">
        <f>Input!N26</f>
        <v>0</v>
      </c>
      <c r="V87" s="78">
        <f t="shared" si="55"/>
        <v>0</v>
      </c>
      <c r="W87" s="78">
        <f t="shared" si="56"/>
        <v>0</v>
      </c>
      <c r="X87" s="78">
        <f t="shared" si="34"/>
        <v>0</v>
      </c>
      <c r="Y87" s="162">
        <f t="shared" si="57"/>
        <v>0</v>
      </c>
      <c r="Z87" s="79">
        <v>22</v>
      </c>
      <c r="AA87" s="80">
        <f>Input!P26</f>
        <v>0</v>
      </c>
      <c r="AB87" s="80">
        <f t="shared" si="58"/>
        <v>0</v>
      </c>
      <c r="AC87" s="80">
        <f t="shared" si="63"/>
        <v>0</v>
      </c>
      <c r="AD87" s="80">
        <f t="shared" si="35"/>
        <v>0</v>
      </c>
      <c r="AE87" s="80">
        <f t="shared" si="59"/>
        <v>0</v>
      </c>
      <c r="AF87" s="552">
        <v>22</v>
      </c>
      <c r="AG87" s="553">
        <f>Input!R26</f>
        <v>0</v>
      </c>
      <c r="AH87" s="553">
        <f t="shared" si="64"/>
        <v>0</v>
      </c>
      <c r="AI87" s="564">
        <f t="shared" si="60"/>
        <v>0</v>
      </c>
      <c r="AJ87" s="553">
        <f t="shared" si="61"/>
        <v>0</v>
      </c>
      <c r="AK87" s="555">
        <f t="shared" si="62"/>
        <v>0</v>
      </c>
      <c r="AL87" s="157">
        <f t="shared" si="37"/>
        <v>2</v>
      </c>
      <c r="AM87" s="31">
        <f t="shared" si="66"/>
        <v>3</v>
      </c>
      <c r="AN87" s="157">
        <f t="shared" si="39"/>
        <v>0</v>
      </c>
      <c r="AO87" s="31" t="str">
        <f t="shared" si="65"/>
        <v/>
      </c>
      <c r="AP87" s="157">
        <f t="shared" si="40"/>
        <v>0</v>
      </c>
      <c r="AQ87" s="31" t="str">
        <f t="shared" si="43"/>
        <v/>
      </c>
      <c r="AR87" s="157">
        <f t="shared" si="41"/>
        <v>0</v>
      </c>
      <c r="AS87" s="31" t="str">
        <f t="shared" si="44"/>
        <v/>
      </c>
      <c r="AT87" s="157">
        <f t="shared" si="42"/>
        <v>0</v>
      </c>
      <c r="AU87" s="31" t="str">
        <f t="shared" si="45"/>
        <v/>
      </c>
    </row>
    <row r="88" spans="2:47" x14ac:dyDescent="0.2">
      <c r="B88" s="16">
        <v>23</v>
      </c>
      <c r="C88" s="73">
        <f>Input!H27</f>
        <v>0</v>
      </c>
      <c r="D88" s="73">
        <f t="shared" si="46"/>
        <v>0</v>
      </c>
      <c r="E88" s="73">
        <f t="shared" si="47"/>
        <v>0</v>
      </c>
      <c r="F88" s="73">
        <f t="shared" si="31"/>
        <v>0</v>
      </c>
      <c r="G88" s="155">
        <f t="shared" si="48"/>
        <v>0</v>
      </c>
      <c r="H88" s="140">
        <v>23</v>
      </c>
      <c r="I88" s="140">
        <f>Input!J27</f>
        <v>0</v>
      </c>
      <c r="J88" s="140">
        <f t="shared" si="49"/>
        <v>0</v>
      </c>
      <c r="K88" s="140">
        <f t="shared" si="50"/>
        <v>0</v>
      </c>
      <c r="L88" s="140">
        <f t="shared" si="32"/>
        <v>0</v>
      </c>
      <c r="M88" s="158">
        <f t="shared" si="51"/>
        <v>0</v>
      </c>
      <c r="N88" s="74">
        <v>23</v>
      </c>
      <c r="O88" s="75">
        <f>Input!L27</f>
        <v>0</v>
      </c>
      <c r="P88" s="75">
        <f t="shared" si="52"/>
        <v>0</v>
      </c>
      <c r="Q88" s="75">
        <f t="shared" si="53"/>
        <v>0</v>
      </c>
      <c r="R88" s="75">
        <f t="shared" si="33"/>
        <v>0</v>
      </c>
      <c r="S88" s="160">
        <f t="shared" si="54"/>
        <v>0</v>
      </c>
      <c r="T88" s="77">
        <v>23</v>
      </c>
      <c r="U88" s="78">
        <f>Input!N27</f>
        <v>0</v>
      </c>
      <c r="V88" s="78">
        <f t="shared" si="55"/>
        <v>0</v>
      </c>
      <c r="W88" s="78">
        <f t="shared" si="56"/>
        <v>0</v>
      </c>
      <c r="X88" s="78">
        <f t="shared" si="34"/>
        <v>0</v>
      </c>
      <c r="Y88" s="162">
        <f t="shared" si="57"/>
        <v>0</v>
      </c>
      <c r="Z88" s="79">
        <v>23</v>
      </c>
      <c r="AA88" s="80">
        <f>Input!P27</f>
        <v>0</v>
      </c>
      <c r="AB88" s="80">
        <f t="shared" si="58"/>
        <v>0</v>
      </c>
      <c r="AC88" s="80">
        <f t="shared" si="63"/>
        <v>0</v>
      </c>
      <c r="AD88" s="80">
        <f t="shared" si="35"/>
        <v>0</v>
      </c>
      <c r="AE88" s="80">
        <f t="shared" si="59"/>
        <v>0</v>
      </c>
      <c r="AF88" s="552">
        <v>23</v>
      </c>
      <c r="AG88" s="553">
        <f>Input!R27</f>
        <v>0</v>
      </c>
      <c r="AH88" s="553">
        <f t="shared" si="64"/>
        <v>0</v>
      </c>
      <c r="AI88" s="564">
        <f t="shared" si="60"/>
        <v>0</v>
      </c>
      <c r="AJ88" s="553">
        <f t="shared" si="61"/>
        <v>0</v>
      </c>
      <c r="AK88" s="555">
        <f t="shared" si="62"/>
        <v>0</v>
      </c>
      <c r="AL88" s="157">
        <f t="shared" si="37"/>
        <v>0</v>
      </c>
      <c r="AM88" s="31" t="str">
        <f t="shared" si="66"/>
        <v/>
      </c>
      <c r="AN88" s="157">
        <f t="shared" si="39"/>
        <v>0</v>
      </c>
      <c r="AO88" s="31" t="str">
        <f t="shared" si="65"/>
        <v/>
      </c>
      <c r="AP88" s="157">
        <f t="shared" si="40"/>
        <v>0</v>
      </c>
      <c r="AQ88" s="31" t="str">
        <f t="shared" si="43"/>
        <v/>
      </c>
      <c r="AR88" s="157">
        <f t="shared" si="41"/>
        <v>0</v>
      </c>
      <c r="AS88" s="31" t="str">
        <f t="shared" si="44"/>
        <v/>
      </c>
      <c r="AT88" s="157">
        <f t="shared" si="42"/>
        <v>0</v>
      </c>
      <c r="AU88" s="31" t="str">
        <f t="shared" si="45"/>
        <v/>
      </c>
    </row>
    <row r="89" spans="2:47" x14ac:dyDescent="0.2">
      <c r="B89" s="16">
        <v>24</v>
      </c>
      <c r="C89" s="73">
        <f>Input!H28</f>
        <v>0</v>
      </c>
      <c r="D89" s="73">
        <f t="shared" si="46"/>
        <v>0</v>
      </c>
      <c r="E89" s="73">
        <f t="shared" si="47"/>
        <v>0</v>
      </c>
      <c r="F89" s="73">
        <f t="shared" si="31"/>
        <v>0</v>
      </c>
      <c r="G89" s="155">
        <f t="shared" si="48"/>
        <v>0</v>
      </c>
      <c r="H89" s="140">
        <v>24</v>
      </c>
      <c r="I89" s="140">
        <f>Input!J28</f>
        <v>0</v>
      </c>
      <c r="J89" s="140">
        <f t="shared" si="49"/>
        <v>0</v>
      </c>
      <c r="K89" s="140">
        <f t="shared" si="50"/>
        <v>0</v>
      </c>
      <c r="L89" s="140">
        <f t="shared" si="32"/>
        <v>0</v>
      </c>
      <c r="M89" s="158">
        <f t="shared" si="51"/>
        <v>0</v>
      </c>
      <c r="N89" s="74">
        <v>24</v>
      </c>
      <c r="O89" s="75">
        <f>Input!L28</f>
        <v>0</v>
      </c>
      <c r="P89" s="75">
        <f t="shared" si="52"/>
        <v>0</v>
      </c>
      <c r="Q89" s="75">
        <f t="shared" si="53"/>
        <v>0</v>
      </c>
      <c r="R89" s="75">
        <f t="shared" si="33"/>
        <v>0</v>
      </c>
      <c r="S89" s="160">
        <f t="shared" si="54"/>
        <v>0</v>
      </c>
      <c r="T89" s="77">
        <v>24</v>
      </c>
      <c r="U89" s="78">
        <f>Input!N28</f>
        <v>0</v>
      </c>
      <c r="V89" s="78">
        <f t="shared" si="55"/>
        <v>0</v>
      </c>
      <c r="W89" s="78">
        <f t="shared" si="56"/>
        <v>0</v>
      </c>
      <c r="X89" s="78">
        <f t="shared" si="34"/>
        <v>0</v>
      </c>
      <c r="Y89" s="162">
        <f t="shared" si="57"/>
        <v>0</v>
      </c>
      <c r="Z89" s="79">
        <v>24</v>
      </c>
      <c r="AA89" s="80">
        <f>Input!P28</f>
        <v>0</v>
      </c>
      <c r="AB89" s="80">
        <f t="shared" si="58"/>
        <v>0</v>
      </c>
      <c r="AC89" s="80">
        <f t="shared" si="63"/>
        <v>0</v>
      </c>
      <c r="AD89" s="80">
        <f t="shared" si="35"/>
        <v>0</v>
      </c>
      <c r="AE89" s="80">
        <f t="shared" si="59"/>
        <v>0</v>
      </c>
      <c r="AF89" s="552">
        <v>24</v>
      </c>
      <c r="AG89" s="553">
        <f>Input!R28</f>
        <v>0</v>
      </c>
      <c r="AH89" s="553">
        <f t="shared" si="64"/>
        <v>0</v>
      </c>
      <c r="AI89" s="564">
        <f t="shared" si="60"/>
        <v>0</v>
      </c>
      <c r="AJ89" s="553">
        <f t="shared" si="61"/>
        <v>0</v>
      </c>
      <c r="AK89" s="555">
        <f t="shared" si="62"/>
        <v>0</v>
      </c>
      <c r="AL89" s="157">
        <f t="shared" si="37"/>
        <v>0</v>
      </c>
      <c r="AM89" s="31" t="str">
        <f t="shared" si="66"/>
        <v/>
      </c>
      <c r="AN89" s="157">
        <f t="shared" si="39"/>
        <v>0</v>
      </c>
      <c r="AO89" s="31" t="str">
        <f t="shared" si="65"/>
        <v/>
      </c>
      <c r="AP89" s="157">
        <f t="shared" si="40"/>
        <v>0</v>
      </c>
      <c r="AQ89" s="31" t="str">
        <f t="shared" si="43"/>
        <v/>
      </c>
      <c r="AR89" s="157">
        <f t="shared" si="41"/>
        <v>0</v>
      </c>
      <c r="AS89" s="31" t="str">
        <f t="shared" si="44"/>
        <v/>
      </c>
      <c r="AT89" s="157">
        <f t="shared" si="42"/>
        <v>0</v>
      </c>
      <c r="AU89" s="31" t="str">
        <f t="shared" si="45"/>
        <v/>
      </c>
    </row>
    <row r="90" spans="2:47" x14ac:dyDescent="0.2">
      <c r="B90" s="16">
        <v>25</v>
      </c>
      <c r="C90" s="73">
        <f>Input!H29</f>
        <v>0</v>
      </c>
      <c r="D90" s="73">
        <f t="shared" si="46"/>
        <v>0</v>
      </c>
      <c r="E90" s="73">
        <f t="shared" si="47"/>
        <v>0</v>
      </c>
      <c r="F90" s="73">
        <f t="shared" si="31"/>
        <v>0</v>
      </c>
      <c r="G90" s="155">
        <f t="shared" si="48"/>
        <v>0</v>
      </c>
      <c r="H90" s="140">
        <v>25</v>
      </c>
      <c r="I90" s="140">
        <f>Input!J29</f>
        <v>0</v>
      </c>
      <c r="J90" s="140">
        <f t="shared" si="49"/>
        <v>0</v>
      </c>
      <c r="K90" s="140">
        <f t="shared" si="50"/>
        <v>0</v>
      </c>
      <c r="L90" s="140">
        <f t="shared" si="32"/>
        <v>0</v>
      </c>
      <c r="M90" s="158">
        <f t="shared" si="51"/>
        <v>0</v>
      </c>
      <c r="N90" s="74">
        <v>25</v>
      </c>
      <c r="O90" s="75">
        <f>Input!L29</f>
        <v>0</v>
      </c>
      <c r="P90" s="75">
        <f t="shared" si="52"/>
        <v>0</v>
      </c>
      <c r="Q90" s="75">
        <f t="shared" si="53"/>
        <v>0</v>
      </c>
      <c r="R90" s="75">
        <f t="shared" si="33"/>
        <v>0</v>
      </c>
      <c r="S90" s="160">
        <f t="shared" si="54"/>
        <v>0</v>
      </c>
      <c r="T90" s="77">
        <v>25</v>
      </c>
      <c r="U90" s="78">
        <f>Input!N29</f>
        <v>0</v>
      </c>
      <c r="V90" s="78">
        <f t="shared" si="55"/>
        <v>0</v>
      </c>
      <c r="W90" s="78">
        <f t="shared" si="56"/>
        <v>0</v>
      </c>
      <c r="X90" s="78">
        <f t="shared" si="34"/>
        <v>0</v>
      </c>
      <c r="Y90" s="162">
        <f t="shared" si="57"/>
        <v>0</v>
      </c>
      <c r="Z90" s="79">
        <v>25</v>
      </c>
      <c r="AA90" s="80">
        <f>Input!P29</f>
        <v>0</v>
      </c>
      <c r="AB90" s="80">
        <f t="shared" si="58"/>
        <v>0</v>
      </c>
      <c r="AC90" s="80">
        <f t="shared" si="63"/>
        <v>0</v>
      </c>
      <c r="AD90" s="80">
        <f t="shared" si="35"/>
        <v>0</v>
      </c>
      <c r="AE90" s="80">
        <f t="shared" si="59"/>
        <v>0</v>
      </c>
      <c r="AF90" s="552">
        <v>25</v>
      </c>
      <c r="AG90" s="553">
        <f>Input!R29</f>
        <v>0</v>
      </c>
      <c r="AH90" s="553">
        <f t="shared" si="64"/>
        <v>0</v>
      </c>
      <c r="AI90" s="564">
        <f t="shared" si="60"/>
        <v>0</v>
      </c>
      <c r="AJ90" s="553">
        <f t="shared" si="61"/>
        <v>0</v>
      </c>
      <c r="AK90" s="555">
        <f t="shared" si="62"/>
        <v>0</v>
      </c>
      <c r="AL90" s="157">
        <f t="shared" si="37"/>
        <v>0</v>
      </c>
      <c r="AM90" s="31" t="str">
        <f t="shared" si="66"/>
        <v/>
      </c>
      <c r="AN90" s="157">
        <f t="shared" si="39"/>
        <v>0</v>
      </c>
      <c r="AO90" s="31" t="str">
        <f t="shared" si="65"/>
        <v/>
      </c>
      <c r="AP90" s="157">
        <f t="shared" si="40"/>
        <v>0</v>
      </c>
      <c r="AQ90" s="31" t="str">
        <f t="shared" si="43"/>
        <v/>
      </c>
      <c r="AR90" s="157">
        <f t="shared" si="41"/>
        <v>0</v>
      </c>
      <c r="AS90" s="31" t="str">
        <f t="shared" si="44"/>
        <v/>
      </c>
      <c r="AT90" s="157">
        <f t="shared" si="42"/>
        <v>0</v>
      </c>
      <c r="AU90" s="31" t="str">
        <f t="shared" si="45"/>
        <v/>
      </c>
    </row>
    <row r="91" spans="2:47" x14ac:dyDescent="0.2">
      <c r="B91" s="16">
        <v>26</v>
      </c>
      <c r="C91" s="73">
        <f>Input!H30</f>
        <v>0</v>
      </c>
      <c r="D91" s="73">
        <f t="shared" si="46"/>
        <v>0</v>
      </c>
      <c r="E91" s="73">
        <f t="shared" si="47"/>
        <v>0</v>
      </c>
      <c r="F91" s="73">
        <f t="shared" si="31"/>
        <v>0</v>
      </c>
      <c r="G91" s="155">
        <f t="shared" si="48"/>
        <v>0</v>
      </c>
      <c r="H91" s="140">
        <v>26</v>
      </c>
      <c r="I91" s="140">
        <f>Input!J30</f>
        <v>0</v>
      </c>
      <c r="J91" s="140">
        <f t="shared" si="49"/>
        <v>0</v>
      </c>
      <c r="K91" s="140">
        <f t="shared" si="50"/>
        <v>0</v>
      </c>
      <c r="L91" s="140">
        <f t="shared" si="32"/>
        <v>0</v>
      </c>
      <c r="M91" s="158">
        <f t="shared" si="51"/>
        <v>0</v>
      </c>
      <c r="N91" s="74">
        <v>26</v>
      </c>
      <c r="O91" s="75">
        <f>Input!L30</f>
        <v>0</v>
      </c>
      <c r="P91" s="75">
        <f t="shared" si="52"/>
        <v>0</v>
      </c>
      <c r="Q91" s="75">
        <f t="shared" si="53"/>
        <v>0</v>
      </c>
      <c r="R91" s="75">
        <f t="shared" si="33"/>
        <v>0</v>
      </c>
      <c r="S91" s="160">
        <f t="shared" si="54"/>
        <v>0</v>
      </c>
      <c r="T91" s="77">
        <v>26</v>
      </c>
      <c r="U91" s="78">
        <f>Input!N30</f>
        <v>0</v>
      </c>
      <c r="V91" s="78">
        <f t="shared" si="55"/>
        <v>0</v>
      </c>
      <c r="W91" s="78">
        <f t="shared" si="56"/>
        <v>0</v>
      </c>
      <c r="X91" s="78">
        <f t="shared" si="34"/>
        <v>0</v>
      </c>
      <c r="Y91" s="162">
        <f t="shared" si="57"/>
        <v>0</v>
      </c>
      <c r="Z91" s="79">
        <v>26</v>
      </c>
      <c r="AA91" s="80">
        <f>Input!P30</f>
        <v>0</v>
      </c>
      <c r="AB91" s="80">
        <f t="shared" si="58"/>
        <v>0</v>
      </c>
      <c r="AC91" s="80">
        <f t="shared" si="63"/>
        <v>0</v>
      </c>
      <c r="AD91" s="80">
        <f t="shared" si="35"/>
        <v>0</v>
      </c>
      <c r="AE91" s="80">
        <f t="shared" si="59"/>
        <v>0</v>
      </c>
      <c r="AF91" s="552">
        <v>26</v>
      </c>
      <c r="AG91" s="553">
        <f>Input!R30</f>
        <v>0</v>
      </c>
      <c r="AH91" s="553">
        <f t="shared" si="64"/>
        <v>0</v>
      </c>
      <c r="AI91" s="564">
        <f t="shared" si="60"/>
        <v>0</v>
      </c>
      <c r="AJ91" s="553">
        <f t="shared" si="61"/>
        <v>0</v>
      </c>
      <c r="AK91" s="555">
        <f t="shared" si="62"/>
        <v>0</v>
      </c>
      <c r="AL91" s="157">
        <f t="shared" si="37"/>
        <v>0</v>
      </c>
      <c r="AM91" s="31" t="str">
        <f t="shared" si="66"/>
        <v/>
      </c>
      <c r="AN91" s="157">
        <f t="shared" si="39"/>
        <v>0</v>
      </c>
      <c r="AO91" s="31" t="str">
        <f t="shared" si="65"/>
        <v/>
      </c>
      <c r="AP91" s="157">
        <f t="shared" si="40"/>
        <v>0</v>
      </c>
      <c r="AQ91" s="31" t="str">
        <f t="shared" si="43"/>
        <v/>
      </c>
      <c r="AR91" s="157">
        <f t="shared" si="41"/>
        <v>0</v>
      </c>
      <c r="AS91" s="31" t="str">
        <f t="shared" si="44"/>
        <v/>
      </c>
      <c r="AT91" s="157">
        <f t="shared" si="42"/>
        <v>0</v>
      </c>
      <c r="AU91" s="31" t="str">
        <f t="shared" si="45"/>
        <v/>
      </c>
    </row>
    <row r="92" spans="2:47" x14ac:dyDescent="0.2">
      <c r="B92" s="16">
        <v>27</v>
      </c>
      <c r="C92" s="73">
        <f>Input!H31</f>
        <v>0</v>
      </c>
      <c r="D92" s="73">
        <f t="shared" si="46"/>
        <v>0</v>
      </c>
      <c r="E92" s="73">
        <f t="shared" si="47"/>
        <v>0</v>
      </c>
      <c r="F92" s="73">
        <f t="shared" si="31"/>
        <v>0</v>
      </c>
      <c r="G92" s="155">
        <f t="shared" si="48"/>
        <v>0</v>
      </c>
      <c r="H92" s="140">
        <v>27</v>
      </c>
      <c r="I92" s="140">
        <f>Input!J31</f>
        <v>0</v>
      </c>
      <c r="J92" s="140">
        <f t="shared" si="49"/>
        <v>0</v>
      </c>
      <c r="K92" s="140">
        <f t="shared" si="50"/>
        <v>0</v>
      </c>
      <c r="L92" s="140">
        <f t="shared" si="32"/>
        <v>0</v>
      </c>
      <c r="M92" s="158">
        <f t="shared" si="51"/>
        <v>0</v>
      </c>
      <c r="N92" s="74">
        <v>27</v>
      </c>
      <c r="O92" s="75">
        <f>Input!L31</f>
        <v>0</v>
      </c>
      <c r="P92" s="75">
        <f t="shared" si="52"/>
        <v>0</v>
      </c>
      <c r="Q92" s="75">
        <f t="shared" si="53"/>
        <v>0</v>
      </c>
      <c r="R92" s="75">
        <f t="shared" si="33"/>
        <v>0</v>
      </c>
      <c r="S92" s="160">
        <f t="shared" si="54"/>
        <v>0</v>
      </c>
      <c r="T92" s="77">
        <v>27</v>
      </c>
      <c r="U92" s="78">
        <f>Input!N31</f>
        <v>0</v>
      </c>
      <c r="V92" s="78">
        <f t="shared" si="55"/>
        <v>0</v>
      </c>
      <c r="W92" s="78">
        <f t="shared" si="56"/>
        <v>0</v>
      </c>
      <c r="X92" s="78">
        <f t="shared" si="34"/>
        <v>0</v>
      </c>
      <c r="Y92" s="162">
        <f t="shared" si="57"/>
        <v>0</v>
      </c>
      <c r="Z92" s="79">
        <v>27</v>
      </c>
      <c r="AA92" s="80">
        <f>Input!P31</f>
        <v>0</v>
      </c>
      <c r="AB92" s="80">
        <f t="shared" si="58"/>
        <v>0</v>
      </c>
      <c r="AC92" s="80">
        <f t="shared" si="63"/>
        <v>0</v>
      </c>
      <c r="AD92" s="80">
        <f t="shared" si="35"/>
        <v>0</v>
      </c>
      <c r="AE92" s="80">
        <f t="shared" si="59"/>
        <v>0</v>
      </c>
      <c r="AF92" s="552">
        <v>27</v>
      </c>
      <c r="AG92" s="553">
        <f>Input!R31</f>
        <v>0</v>
      </c>
      <c r="AH92" s="553">
        <f t="shared" si="64"/>
        <v>0</v>
      </c>
      <c r="AI92" s="564">
        <f t="shared" si="60"/>
        <v>0</v>
      </c>
      <c r="AJ92" s="553">
        <f t="shared" si="61"/>
        <v>0</v>
      </c>
      <c r="AK92" s="555">
        <f t="shared" si="62"/>
        <v>0</v>
      </c>
      <c r="AL92" s="157">
        <f t="shared" si="37"/>
        <v>0</v>
      </c>
      <c r="AM92" s="31" t="str">
        <f t="shared" si="66"/>
        <v/>
      </c>
      <c r="AN92" s="157">
        <f t="shared" si="39"/>
        <v>0</v>
      </c>
      <c r="AO92" s="31" t="str">
        <f t="shared" si="65"/>
        <v/>
      </c>
      <c r="AP92" s="157">
        <f t="shared" si="40"/>
        <v>0</v>
      </c>
      <c r="AQ92" s="31" t="str">
        <f t="shared" si="43"/>
        <v/>
      </c>
      <c r="AR92" s="157">
        <f t="shared" si="41"/>
        <v>0</v>
      </c>
      <c r="AS92" s="31" t="str">
        <f t="shared" si="44"/>
        <v/>
      </c>
      <c r="AT92" s="157">
        <f t="shared" si="42"/>
        <v>0</v>
      </c>
      <c r="AU92" s="31" t="str">
        <f t="shared" si="45"/>
        <v/>
      </c>
    </row>
    <row r="93" spans="2:47" x14ac:dyDescent="0.2">
      <c r="B93" s="16">
        <v>28</v>
      </c>
      <c r="C93" s="73">
        <f>Input!H32</f>
        <v>0</v>
      </c>
      <c r="D93" s="73">
        <f t="shared" si="46"/>
        <v>0</v>
      </c>
      <c r="E93" s="73">
        <f t="shared" si="47"/>
        <v>0</v>
      </c>
      <c r="F93" s="73">
        <f t="shared" si="31"/>
        <v>0</v>
      </c>
      <c r="G93" s="155">
        <f t="shared" si="48"/>
        <v>0</v>
      </c>
      <c r="H93" s="140">
        <v>28</v>
      </c>
      <c r="I93" s="140">
        <f>Input!J32</f>
        <v>0</v>
      </c>
      <c r="J93" s="140">
        <f t="shared" si="49"/>
        <v>0</v>
      </c>
      <c r="K93" s="140">
        <f t="shared" si="50"/>
        <v>0</v>
      </c>
      <c r="L93" s="140">
        <f t="shared" si="32"/>
        <v>0</v>
      </c>
      <c r="M93" s="158">
        <f t="shared" si="51"/>
        <v>0</v>
      </c>
      <c r="N93" s="74">
        <v>28</v>
      </c>
      <c r="O93" s="75">
        <f>Input!L32</f>
        <v>0</v>
      </c>
      <c r="P93" s="75">
        <f t="shared" si="52"/>
        <v>0</v>
      </c>
      <c r="Q93" s="75">
        <f t="shared" si="53"/>
        <v>0</v>
      </c>
      <c r="R93" s="75">
        <f t="shared" si="33"/>
        <v>0</v>
      </c>
      <c r="S93" s="160">
        <f t="shared" si="54"/>
        <v>0</v>
      </c>
      <c r="T93" s="77">
        <v>28</v>
      </c>
      <c r="U93" s="78">
        <f>Input!N32</f>
        <v>0</v>
      </c>
      <c r="V93" s="78">
        <f t="shared" si="55"/>
        <v>0</v>
      </c>
      <c r="W93" s="78">
        <f t="shared" si="56"/>
        <v>0</v>
      </c>
      <c r="X93" s="78">
        <f t="shared" si="34"/>
        <v>0</v>
      </c>
      <c r="Y93" s="162">
        <f t="shared" si="57"/>
        <v>0</v>
      </c>
      <c r="Z93" s="79">
        <v>28</v>
      </c>
      <c r="AA93" s="80">
        <f>Input!P32</f>
        <v>0</v>
      </c>
      <c r="AB93" s="80">
        <f t="shared" si="58"/>
        <v>0</v>
      </c>
      <c r="AC93" s="80">
        <f t="shared" si="63"/>
        <v>0</v>
      </c>
      <c r="AD93" s="80">
        <f t="shared" si="35"/>
        <v>0</v>
      </c>
      <c r="AE93" s="80">
        <f t="shared" si="59"/>
        <v>0</v>
      </c>
      <c r="AF93" s="552">
        <v>28</v>
      </c>
      <c r="AG93" s="553">
        <f>Input!R32</f>
        <v>0</v>
      </c>
      <c r="AH93" s="553">
        <f t="shared" si="64"/>
        <v>0</v>
      </c>
      <c r="AI93" s="564">
        <f>IF(AG93=0,0,(0.00716*(AF93*2.54)^2.02253*(AH93/3.281)^1.30938/0.72/35.315)*0.912733/(1.033*(1+1.382937*EXP(-4.015292*AF93/10))*(0.005454154*AF93^2+0.087266)-0.174533)*((0.005454154*AF93^2-0.087266)/0.912733))</f>
        <v>0</v>
      </c>
      <c r="AJ93" s="553">
        <f t="shared" si="61"/>
        <v>0</v>
      </c>
      <c r="AK93" s="555">
        <f t="shared" si="62"/>
        <v>0</v>
      </c>
      <c r="AL93" s="157">
        <f t="shared" si="37"/>
        <v>0</v>
      </c>
      <c r="AM93" s="31" t="str">
        <f t="shared" si="66"/>
        <v/>
      </c>
      <c r="AN93" s="157">
        <f t="shared" si="39"/>
        <v>0</v>
      </c>
      <c r="AO93" s="31" t="str">
        <f t="shared" si="65"/>
        <v/>
      </c>
      <c r="AP93" s="157">
        <f t="shared" si="40"/>
        <v>0</v>
      </c>
      <c r="AQ93" s="31" t="str">
        <f t="shared" si="43"/>
        <v/>
      </c>
      <c r="AR93" s="157">
        <f t="shared" si="41"/>
        <v>0</v>
      </c>
      <c r="AS93" s="31" t="str">
        <f t="shared" si="44"/>
        <v/>
      </c>
      <c r="AT93" s="157">
        <f t="shared" si="42"/>
        <v>0</v>
      </c>
      <c r="AU93" s="31" t="str">
        <f t="shared" si="45"/>
        <v/>
      </c>
    </row>
    <row r="94" spans="2:47" x14ac:dyDescent="0.2">
      <c r="B94" s="16">
        <v>29</v>
      </c>
      <c r="C94" s="73">
        <f>Input!H33</f>
        <v>0</v>
      </c>
      <c r="D94" s="73">
        <f t="shared" si="46"/>
        <v>0</v>
      </c>
      <c r="E94" s="73">
        <f t="shared" si="47"/>
        <v>0</v>
      </c>
      <c r="F94" s="73">
        <f t="shared" si="31"/>
        <v>0</v>
      </c>
      <c r="G94" s="155">
        <f t="shared" si="48"/>
        <v>0</v>
      </c>
      <c r="H94" s="140">
        <v>29</v>
      </c>
      <c r="I94" s="140">
        <f>Input!J33</f>
        <v>0</v>
      </c>
      <c r="J94" s="140">
        <f t="shared" si="49"/>
        <v>0</v>
      </c>
      <c r="K94" s="140">
        <f t="shared" si="50"/>
        <v>0</v>
      </c>
      <c r="L94" s="140">
        <f t="shared" si="32"/>
        <v>0</v>
      </c>
      <c r="M94" s="158">
        <f t="shared" si="51"/>
        <v>0</v>
      </c>
      <c r="N94" s="74">
        <v>29</v>
      </c>
      <c r="O94" s="75">
        <f>Input!L33</f>
        <v>0</v>
      </c>
      <c r="P94" s="75">
        <f t="shared" si="52"/>
        <v>0</v>
      </c>
      <c r="Q94" s="75">
        <f t="shared" si="53"/>
        <v>0</v>
      </c>
      <c r="R94" s="75">
        <f t="shared" si="33"/>
        <v>0</v>
      </c>
      <c r="S94" s="160">
        <f t="shared" si="54"/>
        <v>0</v>
      </c>
      <c r="T94" s="77">
        <v>29</v>
      </c>
      <c r="U94" s="78">
        <f>Input!N33</f>
        <v>0</v>
      </c>
      <c r="V94" s="78">
        <f t="shared" si="55"/>
        <v>0</v>
      </c>
      <c r="W94" s="78">
        <f t="shared" si="56"/>
        <v>0</v>
      </c>
      <c r="X94" s="78">
        <f t="shared" si="34"/>
        <v>0</v>
      </c>
      <c r="Y94" s="162">
        <f t="shared" si="57"/>
        <v>0</v>
      </c>
      <c r="Z94" s="79">
        <v>29</v>
      </c>
      <c r="AA94" s="80">
        <f>Input!P33</f>
        <v>0</v>
      </c>
      <c r="AB94" s="80">
        <f t="shared" si="58"/>
        <v>0</v>
      </c>
      <c r="AC94" s="80">
        <f t="shared" si="63"/>
        <v>0</v>
      </c>
      <c r="AD94" s="80">
        <f t="shared" si="35"/>
        <v>0</v>
      </c>
      <c r="AE94" s="80">
        <f t="shared" si="59"/>
        <v>0</v>
      </c>
      <c r="AF94" s="552">
        <v>29</v>
      </c>
      <c r="AG94" s="553">
        <f>Input!R33</f>
        <v>0</v>
      </c>
      <c r="AH94" s="553">
        <f t="shared" si="64"/>
        <v>0</v>
      </c>
      <c r="AI94" s="564">
        <f t="shared" ref="AI94:AI100" si="67">IF(AG94=0,0,(0.00716*(AF94*2.54)^2.02253*(AH94/3.281)^1.30938/0.72/35.315)*0.912733/(1.033*(1+1.382937*EXP(-4.015292*AF94/10))*(0.005454154*AF94^2+0.087266)-0.174533)*((0.005454154*AF94^2-0.087266)/0.912733))</f>
        <v>0</v>
      </c>
      <c r="AJ94" s="553">
        <f t="shared" si="61"/>
        <v>0</v>
      </c>
      <c r="AK94" s="555">
        <f t="shared" si="62"/>
        <v>0</v>
      </c>
      <c r="AL94" s="157">
        <f t="shared" si="37"/>
        <v>0</v>
      </c>
      <c r="AM94" s="31" t="str">
        <f t="shared" si="66"/>
        <v/>
      </c>
      <c r="AN94" s="157">
        <f t="shared" si="39"/>
        <v>0</v>
      </c>
      <c r="AO94" s="31" t="str">
        <f t="shared" si="65"/>
        <v/>
      </c>
      <c r="AP94" s="157">
        <f t="shared" si="40"/>
        <v>0</v>
      </c>
      <c r="AQ94" s="31" t="str">
        <f t="shared" si="43"/>
        <v/>
      </c>
      <c r="AR94" s="157">
        <f t="shared" si="41"/>
        <v>0</v>
      </c>
      <c r="AS94" s="31" t="str">
        <f t="shared" si="44"/>
        <v/>
      </c>
      <c r="AT94" s="157">
        <f t="shared" si="42"/>
        <v>0</v>
      </c>
      <c r="AU94" s="31" t="str">
        <f t="shared" si="45"/>
        <v/>
      </c>
    </row>
    <row r="95" spans="2:47" x14ac:dyDescent="0.2">
      <c r="B95" s="16">
        <v>30</v>
      </c>
      <c r="C95" s="73">
        <f>Input!H34</f>
        <v>0</v>
      </c>
      <c r="D95" s="73">
        <f t="shared" si="46"/>
        <v>0</v>
      </c>
      <c r="E95" s="73">
        <f t="shared" si="47"/>
        <v>0</v>
      </c>
      <c r="F95" s="73">
        <f t="shared" si="31"/>
        <v>0</v>
      </c>
      <c r="G95" s="155">
        <f t="shared" si="48"/>
        <v>0</v>
      </c>
      <c r="H95" s="140">
        <v>30</v>
      </c>
      <c r="I95" s="140">
        <f>Input!J34</f>
        <v>0</v>
      </c>
      <c r="J95" s="140">
        <f t="shared" si="49"/>
        <v>0</v>
      </c>
      <c r="K95" s="140">
        <f t="shared" si="50"/>
        <v>0</v>
      </c>
      <c r="L95" s="140">
        <f t="shared" si="32"/>
        <v>0</v>
      </c>
      <c r="M95" s="158">
        <f t="shared" si="51"/>
        <v>0</v>
      </c>
      <c r="N95" s="74">
        <v>30</v>
      </c>
      <c r="O95" s="75">
        <f>Input!L34</f>
        <v>0</v>
      </c>
      <c r="P95" s="75">
        <f t="shared" si="52"/>
        <v>0</v>
      </c>
      <c r="Q95" s="75">
        <f t="shared" si="53"/>
        <v>0</v>
      </c>
      <c r="R95" s="75">
        <f t="shared" si="33"/>
        <v>0</v>
      </c>
      <c r="S95" s="160">
        <f t="shared" si="54"/>
        <v>0</v>
      </c>
      <c r="T95" s="77">
        <v>30</v>
      </c>
      <c r="U95" s="78">
        <f>Input!N34</f>
        <v>0</v>
      </c>
      <c r="V95" s="78">
        <f t="shared" si="55"/>
        <v>0</v>
      </c>
      <c r="W95" s="78">
        <f t="shared" si="56"/>
        <v>0</v>
      </c>
      <c r="X95" s="78">
        <f t="shared" si="34"/>
        <v>0</v>
      </c>
      <c r="Y95" s="162">
        <f t="shared" si="57"/>
        <v>0</v>
      </c>
      <c r="Z95" s="79">
        <v>30</v>
      </c>
      <c r="AA95" s="80">
        <f>Input!P34</f>
        <v>0</v>
      </c>
      <c r="AB95" s="80">
        <f t="shared" si="58"/>
        <v>0</v>
      </c>
      <c r="AC95" s="80">
        <f t="shared" si="63"/>
        <v>0</v>
      </c>
      <c r="AD95" s="80">
        <f t="shared" si="35"/>
        <v>0</v>
      </c>
      <c r="AE95" s="80">
        <f t="shared" si="59"/>
        <v>0</v>
      </c>
      <c r="AF95" s="552">
        <v>30</v>
      </c>
      <c r="AG95" s="553">
        <f>Input!R34</f>
        <v>0</v>
      </c>
      <c r="AH95" s="553">
        <f t="shared" si="64"/>
        <v>0</v>
      </c>
      <c r="AI95" s="564">
        <f t="shared" si="67"/>
        <v>0</v>
      </c>
      <c r="AJ95" s="553">
        <f t="shared" si="61"/>
        <v>0</v>
      </c>
      <c r="AK95" s="555">
        <f t="shared" si="62"/>
        <v>0</v>
      </c>
      <c r="AL95" s="157">
        <f t="shared" si="37"/>
        <v>0</v>
      </c>
      <c r="AM95" s="31" t="str">
        <f t="shared" si="66"/>
        <v/>
      </c>
      <c r="AN95" s="157">
        <f t="shared" si="39"/>
        <v>0</v>
      </c>
      <c r="AO95" s="31" t="str">
        <f t="shared" si="65"/>
        <v/>
      </c>
      <c r="AP95" s="157">
        <f t="shared" si="40"/>
        <v>0</v>
      </c>
      <c r="AQ95" s="31" t="str">
        <f t="shared" si="43"/>
        <v/>
      </c>
      <c r="AR95" s="157">
        <f t="shared" si="41"/>
        <v>0</v>
      </c>
      <c r="AS95" s="31" t="str">
        <f t="shared" si="44"/>
        <v/>
      </c>
      <c r="AT95" s="157">
        <f t="shared" si="42"/>
        <v>0</v>
      </c>
      <c r="AU95" s="31" t="str">
        <f t="shared" si="45"/>
        <v/>
      </c>
    </row>
    <row r="96" spans="2:47" x14ac:dyDescent="0.2">
      <c r="B96" s="16">
        <v>31</v>
      </c>
      <c r="C96" s="73">
        <f>Input!H35</f>
        <v>0</v>
      </c>
      <c r="D96" s="73">
        <f t="shared" si="46"/>
        <v>0</v>
      </c>
      <c r="E96" s="73">
        <f t="shared" si="47"/>
        <v>0</v>
      </c>
      <c r="F96" s="73">
        <f t="shared" si="31"/>
        <v>0</v>
      </c>
      <c r="G96" s="155">
        <f t="shared" si="48"/>
        <v>0</v>
      </c>
      <c r="H96" s="140">
        <v>31</v>
      </c>
      <c r="I96" s="140">
        <f>Input!J35</f>
        <v>0</v>
      </c>
      <c r="J96" s="140">
        <f t="shared" si="49"/>
        <v>0</v>
      </c>
      <c r="K96" s="140">
        <f t="shared" si="50"/>
        <v>0</v>
      </c>
      <c r="L96" s="140">
        <f t="shared" si="32"/>
        <v>0</v>
      </c>
      <c r="M96" s="158">
        <f t="shared" si="51"/>
        <v>0</v>
      </c>
      <c r="N96" s="74">
        <v>31</v>
      </c>
      <c r="O96" s="75">
        <f>Input!L35</f>
        <v>0</v>
      </c>
      <c r="P96" s="75">
        <f t="shared" si="52"/>
        <v>0</v>
      </c>
      <c r="Q96" s="75">
        <f t="shared" si="53"/>
        <v>0</v>
      </c>
      <c r="R96" s="75">
        <f t="shared" si="33"/>
        <v>0</v>
      </c>
      <c r="S96" s="160">
        <f t="shared" si="54"/>
        <v>0</v>
      </c>
      <c r="T96" s="77">
        <v>31</v>
      </c>
      <c r="U96" s="78">
        <f>Input!N35</f>
        <v>0</v>
      </c>
      <c r="V96" s="78">
        <f t="shared" si="55"/>
        <v>0</v>
      </c>
      <c r="W96" s="78">
        <f t="shared" si="56"/>
        <v>0</v>
      </c>
      <c r="X96" s="78">
        <f t="shared" si="34"/>
        <v>0</v>
      </c>
      <c r="Y96" s="162">
        <f t="shared" si="57"/>
        <v>0</v>
      </c>
      <c r="Z96" s="79">
        <v>31</v>
      </c>
      <c r="AA96" s="80">
        <f>Input!P35</f>
        <v>0</v>
      </c>
      <c r="AB96" s="80">
        <f t="shared" si="58"/>
        <v>0</v>
      </c>
      <c r="AC96" s="80">
        <f t="shared" si="63"/>
        <v>0</v>
      </c>
      <c r="AD96" s="80">
        <f t="shared" si="35"/>
        <v>0</v>
      </c>
      <c r="AE96" s="80">
        <f t="shared" si="59"/>
        <v>0</v>
      </c>
      <c r="AF96" s="552">
        <v>31</v>
      </c>
      <c r="AG96" s="553">
        <f>Input!R35</f>
        <v>0</v>
      </c>
      <c r="AH96" s="553">
        <f t="shared" si="64"/>
        <v>0</v>
      </c>
      <c r="AI96" s="564">
        <f t="shared" si="67"/>
        <v>0</v>
      </c>
      <c r="AJ96" s="553">
        <f t="shared" si="61"/>
        <v>0</v>
      </c>
      <c r="AK96" s="555">
        <f t="shared" si="62"/>
        <v>0</v>
      </c>
      <c r="AL96" s="157">
        <f t="shared" si="37"/>
        <v>0</v>
      </c>
      <c r="AM96" s="31" t="str">
        <f t="shared" si="66"/>
        <v/>
      </c>
      <c r="AN96" s="157">
        <f t="shared" si="39"/>
        <v>0</v>
      </c>
      <c r="AO96" s="31" t="str">
        <f t="shared" si="65"/>
        <v/>
      </c>
      <c r="AP96" s="157">
        <f t="shared" si="40"/>
        <v>0</v>
      </c>
      <c r="AQ96" s="31" t="str">
        <f t="shared" si="43"/>
        <v/>
      </c>
      <c r="AR96" s="157">
        <f t="shared" si="41"/>
        <v>0</v>
      </c>
      <c r="AS96" s="31" t="str">
        <f t="shared" si="44"/>
        <v/>
      </c>
      <c r="AT96" s="157">
        <f t="shared" si="42"/>
        <v>0</v>
      </c>
      <c r="AU96" s="31" t="str">
        <f t="shared" si="45"/>
        <v/>
      </c>
    </row>
    <row r="97" spans="2:47" x14ac:dyDescent="0.2">
      <c r="B97" s="16">
        <v>32</v>
      </c>
      <c r="C97" s="73">
        <f>Input!H36</f>
        <v>0</v>
      </c>
      <c r="D97" s="73">
        <f t="shared" si="46"/>
        <v>0</v>
      </c>
      <c r="E97" s="73">
        <f t="shared" si="47"/>
        <v>0</v>
      </c>
      <c r="F97" s="73">
        <f t="shared" si="31"/>
        <v>0</v>
      </c>
      <c r="G97" s="155">
        <f t="shared" si="48"/>
        <v>0</v>
      </c>
      <c r="H97" s="140">
        <v>32</v>
      </c>
      <c r="I97" s="140">
        <f>Input!J36</f>
        <v>0</v>
      </c>
      <c r="J97" s="140">
        <f t="shared" si="49"/>
        <v>0</v>
      </c>
      <c r="K97" s="140">
        <f t="shared" si="50"/>
        <v>0</v>
      </c>
      <c r="L97" s="140">
        <f t="shared" si="32"/>
        <v>0</v>
      </c>
      <c r="M97" s="158">
        <f t="shared" si="51"/>
        <v>0</v>
      </c>
      <c r="N97" s="74">
        <v>32</v>
      </c>
      <c r="O97" s="75">
        <f>Input!L36</f>
        <v>0</v>
      </c>
      <c r="P97" s="75">
        <f t="shared" si="52"/>
        <v>0</v>
      </c>
      <c r="Q97" s="75">
        <f t="shared" si="53"/>
        <v>0</v>
      </c>
      <c r="R97" s="75">
        <f t="shared" si="33"/>
        <v>0</v>
      </c>
      <c r="S97" s="160">
        <f t="shared" si="54"/>
        <v>0</v>
      </c>
      <c r="T97" s="77">
        <v>32</v>
      </c>
      <c r="U97" s="78">
        <f>Input!N36</f>
        <v>0</v>
      </c>
      <c r="V97" s="78">
        <f t="shared" si="55"/>
        <v>0</v>
      </c>
      <c r="W97" s="78">
        <f t="shared" si="56"/>
        <v>0</v>
      </c>
      <c r="X97" s="78">
        <f t="shared" si="34"/>
        <v>0</v>
      </c>
      <c r="Y97" s="162">
        <f t="shared" si="57"/>
        <v>0</v>
      </c>
      <c r="Z97" s="79">
        <v>32</v>
      </c>
      <c r="AA97" s="80">
        <f>Input!P36</f>
        <v>0</v>
      </c>
      <c r="AB97" s="80">
        <f t="shared" si="58"/>
        <v>0</v>
      </c>
      <c r="AC97" s="80">
        <f t="shared" si="63"/>
        <v>0</v>
      </c>
      <c r="AD97" s="80">
        <f t="shared" si="35"/>
        <v>0</v>
      </c>
      <c r="AE97" s="80">
        <f t="shared" si="59"/>
        <v>0</v>
      </c>
      <c r="AF97" s="552">
        <v>32</v>
      </c>
      <c r="AG97" s="553">
        <f>Input!R36</f>
        <v>0</v>
      </c>
      <c r="AH97" s="553">
        <f t="shared" si="64"/>
        <v>0</v>
      </c>
      <c r="AI97" s="564">
        <f t="shared" si="67"/>
        <v>0</v>
      </c>
      <c r="AJ97" s="553">
        <f t="shared" si="61"/>
        <v>0</v>
      </c>
      <c r="AK97" s="555">
        <f t="shared" si="62"/>
        <v>0</v>
      </c>
      <c r="AL97" s="157">
        <f t="shared" si="37"/>
        <v>0</v>
      </c>
      <c r="AM97" s="31" t="str">
        <f t="shared" si="66"/>
        <v/>
      </c>
      <c r="AN97" s="157">
        <f t="shared" si="39"/>
        <v>0</v>
      </c>
      <c r="AO97" s="31" t="str">
        <f t="shared" si="65"/>
        <v/>
      </c>
      <c r="AP97" s="157">
        <f t="shared" si="40"/>
        <v>0</v>
      </c>
      <c r="AQ97" s="31" t="str">
        <f t="shared" si="43"/>
        <v/>
      </c>
      <c r="AR97" s="157">
        <f t="shared" si="41"/>
        <v>0</v>
      </c>
      <c r="AS97" s="31" t="str">
        <f t="shared" si="44"/>
        <v/>
      </c>
      <c r="AT97" s="157">
        <f t="shared" si="42"/>
        <v>0</v>
      </c>
      <c r="AU97" s="31" t="str">
        <f t="shared" si="45"/>
        <v/>
      </c>
    </row>
    <row r="98" spans="2:47" x14ac:dyDescent="0.2">
      <c r="B98" s="16">
        <v>33</v>
      </c>
      <c r="C98" s="73">
        <f>Input!H37</f>
        <v>0</v>
      </c>
      <c r="D98" s="73">
        <f t="shared" si="46"/>
        <v>0</v>
      </c>
      <c r="E98" s="73">
        <f t="shared" si="47"/>
        <v>0</v>
      </c>
      <c r="F98" s="73">
        <f t="shared" si="31"/>
        <v>0</v>
      </c>
      <c r="G98" s="155">
        <f t="shared" si="48"/>
        <v>0</v>
      </c>
      <c r="H98" s="140">
        <v>33</v>
      </c>
      <c r="I98" s="140">
        <f>Input!J37</f>
        <v>0</v>
      </c>
      <c r="J98" s="140">
        <f t="shared" si="49"/>
        <v>0</v>
      </c>
      <c r="K98" s="140">
        <f t="shared" si="50"/>
        <v>0</v>
      </c>
      <c r="L98" s="140">
        <f t="shared" si="32"/>
        <v>0</v>
      </c>
      <c r="M98" s="158">
        <f t="shared" si="51"/>
        <v>0</v>
      </c>
      <c r="N98" s="74">
        <v>33</v>
      </c>
      <c r="O98" s="75">
        <f>Input!L37</f>
        <v>0</v>
      </c>
      <c r="P98" s="75">
        <f t="shared" si="52"/>
        <v>0</v>
      </c>
      <c r="Q98" s="75">
        <f t="shared" si="53"/>
        <v>0</v>
      </c>
      <c r="R98" s="75">
        <f t="shared" si="33"/>
        <v>0</v>
      </c>
      <c r="S98" s="160">
        <f t="shared" si="54"/>
        <v>0</v>
      </c>
      <c r="T98" s="77">
        <v>33</v>
      </c>
      <c r="U98" s="78">
        <f>Input!N37</f>
        <v>0</v>
      </c>
      <c r="V98" s="78">
        <f t="shared" si="55"/>
        <v>0</v>
      </c>
      <c r="W98" s="78">
        <f t="shared" si="56"/>
        <v>0</v>
      </c>
      <c r="X98" s="78">
        <f t="shared" si="34"/>
        <v>0</v>
      </c>
      <c r="Y98" s="162">
        <f t="shared" si="57"/>
        <v>0</v>
      </c>
      <c r="Z98" s="79">
        <v>33</v>
      </c>
      <c r="AA98" s="80">
        <f>Input!P37</f>
        <v>0</v>
      </c>
      <c r="AB98" s="80">
        <f t="shared" si="58"/>
        <v>0</v>
      </c>
      <c r="AC98" s="80">
        <f t="shared" si="63"/>
        <v>0</v>
      </c>
      <c r="AD98" s="80">
        <f t="shared" si="35"/>
        <v>0</v>
      </c>
      <c r="AE98" s="80">
        <f t="shared" si="59"/>
        <v>0</v>
      </c>
      <c r="AF98" s="552">
        <v>33</v>
      </c>
      <c r="AG98" s="553">
        <f>Input!R37</f>
        <v>0</v>
      </c>
      <c r="AH98" s="553">
        <f t="shared" si="64"/>
        <v>0</v>
      </c>
      <c r="AI98" s="564">
        <f t="shared" si="67"/>
        <v>0</v>
      </c>
      <c r="AJ98" s="553">
        <f t="shared" si="61"/>
        <v>0</v>
      </c>
      <c r="AK98" s="555">
        <f t="shared" si="62"/>
        <v>0</v>
      </c>
      <c r="AL98" s="157">
        <f t="shared" si="37"/>
        <v>0</v>
      </c>
      <c r="AM98" s="31" t="str">
        <f t="shared" si="66"/>
        <v/>
      </c>
      <c r="AN98" s="157">
        <f t="shared" si="39"/>
        <v>0</v>
      </c>
      <c r="AO98" s="31" t="str">
        <f t="shared" si="65"/>
        <v/>
      </c>
      <c r="AP98" s="157">
        <f t="shared" si="40"/>
        <v>0</v>
      </c>
      <c r="AQ98" s="31" t="str">
        <f t="shared" si="43"/>
        <v/>
      </c>
      <c r="AR98" s="157">
        <f t="shared" si="41"/>
        <v>0</v>
      </c>
      <c r="AS98" s="31" t="str">
        <f t="shared" si="44"/>
        <v/>
      </c>
      <c r="AT98" s="157">
        <f t="shared" si="42"/>
        <v>0</v>
      </c>
      <c r="AU98" s="31" t="str">
        <f t="shared" si="45"/>
        <v/>
      </c>
    </row>
    <row r="99" spans="2:47" x14ac:dyDescent="0.2">
      <c r="B99" s="16">
        <v>34</v>
      </c>
      <c r="C99" s="73">
        <f>Input!H38</f>
        <v>0</v>
      </c>
      <c r="D99" s="73">
        <f t="shared" si="46"/>
        <v>0</v>
      </c>
      <c r="E99" s="73">
        <f t="shared" si="47"/>
        <v>0</v>
      </c>
      <c r="F99" s="73">
        <f t="shared" si="31"/>
        <v>0</v>
      </c>
      <c r="G99" s="155">
        <f t="shared" si="48"/>
        <v>0</v>
      </c>
      <c r="H99" s="140">
        <v>34</v>
      </c>
      <c r="I99" s="140">
        <f>Input!J38</f>
        <v>0</v>
      </c>
      <c r="J99" s="140">
        <f t="shared" si="49"/>
        <v>0</v>
      </c>
      <c r="K99" s="140">
        <f t="shared" si="50"/>
        <v>0</v>
      </c>
      <c r="L99" s="140">
        <f t="shared" si="32"/>
        <v>0</v>
      </c>
      <c r="M99" s="158">
        <f t="shared" si="51"/>
        <v>0</v>
      </c>
      <c r="N99" s="74">
        <v>34</v>
      </c>
      <c r="O99" s="75">
        <f>Input!L38</f>
        <v>0</v>
      </c>
      <c r="P99" s="75">
        <f t="shared" si="52"/>
        <v>0</v>
      </c>
      <c r="Q99" s="75">
        <f t="shared" si="53"/>
        <v>0</v>
      </c>
      <c r="R99" s="75">
        <f t="shared" si="33"/>
        <v>0</v>
      </c>
      <c r="S99" s="160">
        <f t="shared" si="54"/>
        <v>0</v>
      </c>
      <c r="T99" s="77">
        <v>34</v>
      </c>
      <c r="U99" s="78">
        <f>Input!N38</f>
        <v>0</v>
      </c>
      <c r="V99" s="78">
        <f t="shared" si="55"/>
        <v>0</v>
      </c>
      <c r="W99" s="78">
        <f t="shared" si="56"/>
        <v>0</v>
      </c>
      <c r="X99" s="78">
        <f t="shared" si="34"/>
        <v>0</v>
      </c>
      <c r="Y99" s="162">
        <f t="shared" si="57"/>
        <v>0</v>
      </c>
      <c r="Z99" s="79">
        <v>34</v>
      </c>
      <c r="AA99" s="80">
        <f>Input!P38</f>
        <v>0</v>
      </c>
      <c r="AB99" s="80">
        <f t="shared" si="58"/>
        <v>0</v>
      </c>
      <c r="AC99" s="80">
        <f t="shared" si="63"/>
        <v>0</v>
      </c>
      <c r="AD99" s="80">
        <f t="shared" si="35"/>
        <v>0</v>
      </c>
      <c r="AE99" s="80">
        <f t="shared" si="59"/>
        <v>0</v>
      </c>
      <c r="AF99" s="552">
        <v>34</v>
      </c>
      <c r="AG99" s="553">
        <f>Input!R38</f>
        <v>0</v>
      </c>
      <c r="AH99" s="553">
        <f t="shared" si="64"/>
        <v>0</v>
      </c>
      <c r="AI99" s="564">
        <f t="shared" si="67"/>
        <v>0</v>
      </c>
      <c r="AJ99" s="553">
        <f t="shared" si="61"/>
        <v>0</v>
      </c>
      <c r="AK99" s="555">
        <f t="shared" si="62"/>
        <v>0</v>
      </c>
      <c r="AL99" s="157">
        <f t="shared" si="37"/>
        <v>0</v>
      </c>
      <c r="AM99" s="31" t="str">
        <f t="shared" si="66"/>
        <v/>
      </c>
      <c r="AN99" s="157">
        <f t="shared" si="39"/>
        <v>0</v>
      </c>
      <c r="AO99" s="31" t="str">
        <f t="shared" si="65"/>
        <v/>
      </c>
      <c r="AP99" s="157">
        <f t="shared" si="40"/>
        <v>0</v>
      </c>
      <c r="AQ99" s="31" t="str">
        <f t="shared" si="43"/>
        <v/>
      </c>
      <c r="AR99" s="157">
        <f t="shared" si="41"/>
        <v>0</v>
      </c>
      <c r="AS99" s="31" t="str">
        <f t="shared" si="44"/>
        <v/>
      </c>
      <c r="AT99" s="157">
        <f t="shared" si="42"/>
        <v>0</v>
      </c>
      <c r="AU99" s="31" t="str">
        <f t="shared" si="45"/>
        <v/>
      </c>
    </row>
    <row r="100" spans="2:47" x14ac:dyDescent="0.2">
      <c r="B100" s="16">
        <v>35</v>
      </c>
      <c r="C100" s="73">
        <v>0</v>
      </c>
      <c r="D100" s="73">
        <f t="shared" si="46"/>
        <v>0</v>
      </c>
      <c r="E100" s="73">
        <f t="shared" si="47"/>
        <v>0</v>
      </c>
      <c r="F100" s="73">
        <f t="shared" si="31"/>
        <v>0</v>
      </c>
      <c r="G100" s="155">
        <f t="shared" si="48"/>
        <v>0</v>
      </c>
      <c r="H100" s="140">
        <v>35</v>
      </c>
      <c r="I100" s="140">
        <f>Input!J39</f>
        <v>0</v>
      </c>
      <c r="J100" s="140">
        <f t="shared" si="49"/>
        <v>0</v>
      </c>
      <c r="K100" s="140">
        <f t="shared" si="50"/>
        <v>0</v>
      </c>
      <c r="L100" s="140">
        <f t="shared" si="32"/>
        <v>0</v>
      </c>
      <c r="M100" s="158">
        <f t="shared" si="51"/>
        <v>0</v>
      </c>
      <c r="N100" s="74">
        <v>35</v>
      </c>
      <c r="O100" s="75">
        <f>Input!L39</f>
        <v>0</v>
      </c>
      <c r="P100" s="75">
        <f t="shared" si="52"/>
        <v>0</v>
      </c>
      <c r="Q100" s="75">
        <f t="shared" si="53"/>
        <v>0</v>
      </c>
      <c r="R100" s="75">
        <f t="shared" si="33"/>
        <v>0</v>
      </c>
      <c r="S100" s="160">
        <f t="shared" si="54"/>
        <v>0</v>
      </c>
      <c r="T100" s="77">
        <v>35</v>
      </c>
      <c r="U100" s="78">
        <f>Input!N39</f>
        <v>0</v>
      </c>
      <c r="V100" s="78">
        <f t="shared" si="55"/>
        <v>0</v>
      </c>
      <c r="W100" s="78">
        <f t="shared" si="56"/>
        <v>0</v>
      </c>
      <c r="X100" s="78">
        <f t="shared" si="34"/>
        <v>0</v>
      </c>
      <c r="Y100" s="162">
        <f t="shared" si="57"/>
        <v>0</v>
      </c>
      <c r="Z100" s="79">
        <v>35</v>
      </c>
      <c r="AA100" s="80">
        <f>Input!P39</f>
        <v>0</v>
      </c>
      <c r="AB100" s="80">
        <f t="shared" si="58"/>
        <v>0</v>
      </c>
      <c r="AC100" s="80">
        <f t="shared" si="63"/>
        <v>0</v>
      </c>
      <c r="AD100" s="80">
        <f t="shared" si="35"/>
        <v>0</v>
      </c>
      <c r="AE100" s="80">
        <f t="shared" si="59"/>
        <v>0</v>
      </c>
      <c r="AF100" s="552">
        <v>35</v>
      </c>
      <c r="AG100" s="553">
        <f>Input!R39</f>
        <v>0</v>
      </c>
      <c r="AH100" s="553">
        <f t="shared" si="64"/>
        <v>0</v>
      </c>
      <c r="AI100" s="564">
        <f t="shared" si="67"/>
        <v>0</v>
      </c>
      <c r="AJ100" s="553">
        <f t="shared" si="61"/>
        <v>0</v>
      </c>
      <c r="AK100" s="555">
        <f t="shared" si="62"/>
        <v>0</v>
      </c>
      <c r="AL100" s="157">
        <f t="shared" si="37"/>
        <v>0</v>
      </c>
      <c r="AM100" s="31" t="str">
        <f t="shared" si="66"/>
        <v/>
      </c>
      <c r="AN100" s="157">
        <f t="shared" si="39"/>
        <v>0</v>
      </c>
      <c r="AO100" s="31" t="str">
        <f t="shared" si="65"/>
        <v/>
      </c>
      <c r="AP100" s="157">
        <f t="shared" si="40"/>
        <v>0</v>
      </c>
      <c r="AQ100" s="31" t="str">
        <f t="shared" si="43"/>
        <v/>
      </c>
      <c r="AR100" s="157">
        <f t="shared" si="41"/>
        <v>0</v>
      </c>
      <c r="AS100" s="31" t="str">
        <f t="shared" si="44"/>
        <v/>
      </c>
      <c r="AT100" s="157">
        <f t="shared" si="42"/>
        <v>0</v>
      </c>
      <c r="AU100" s="31" t="str">
        <f t="shared" si="45"/>
        <v/>
      </c>
    </row>
    <row r="101" spans="2:47" ht="16" thickBot="1" x14ac:dyDescent="0.25">
      <c r="B101" s="17"/>
      <c r="C101" s="88"/>
      <c r="D101" s="88"/>
      <c r="E101" s="88"/>
      <c r="F101" s="88"/>
      <c r="G101" s="89"/>
      <c r="H101" s="144"/>
      <c r="I101" s="144"/>
      <c r="J101" s="144"/>
      <c r="K101" s="144"/>
      <c r="L101" s="144"/>
      <c r="M101" s="145"/>
      <c r="N101" s="90"/>
      <c r="O101" s="91"/>
      <c r="P101" s="91"/>
      <c r="Q101" s="91"/>
      <c r="R101" s="91"/>
      <c r="S101" s="92"/>
      <c r="T101" s="93"/>
      <c r="U101" s="94"/>
      <c r="V101" s="94"/>
      <c r="W101" s="94"/>
      <c r="X101" s="94"/>
      <c r="Y101" s="94"/>
      <c r="Z101" s="96"/>
      <c r="AA101" s="97"/>
      <c r="AB101" s="97"/>
      <c r="AC101" s="97"/>
      <c r="AD101" s="97"/>
      <c r="AE101" s="97"/>
      <c r="AF101" s="561"/>
      <c r="AG101" s="562"/>
      <c r="AH101" s="562"/>
      <c r="AI101" s="562"/>
      <c r="AJ101" s="562"/>
      <c r="AK101" s="563"/>
    </row>
    <row r="102" spans="2:47" x14ac:dyDescent="0.2">
      <c r="B102"/>
      <c r="C102" t="s">
        <v>677</v>
      </c>
      <c r="D102" s="72">
        <f>SUMPRODUCT(C72:C100,E72:E100)</f>
        <v>1349.570594126066</v>
      </c>
      <c r="E102" t="s">
        <v>534</v>
      </c>
      <c r="F102" s="4">
        <f>D102/35.315*(38/100/(1-50/100))*1.1023</f>
        <v>32.014726492649686</v>
      </c>
      <c r="G102" t="s">
        <v>535</v>
      </c>
      <c r="I102" t="s">
        <v>677</v>
      </c>
      <c r="J102" s="72">
        <f>SUMPRODUCT(I72:I100,K72:K100)</f>
        <v>0</v>
      </c>
      <c r="K102" t="s">
        <v>534</v>
      </c>
      <c r="L102" s="4">
        <f>J102/35.315*(45/100/(1-50/100))*1.1023</f>
        <v>0</v>
      </c>
      <c r="M102" t="s">
        <v>535</v>
      </c>
      <c r="O102" t="s">
        <v>677</v>
      </c>
      <c r="P102" s="72">
        <f>SUMPRODUCT(O72:O100,Q72:Q100)</f>
        <v>0</v>
      </c>
      <c r="Q102" t="s">
        <v>534</v>
      </c>
      <c r="R102" s="4">
        <f>P102/35.315*(35/100/(1-50/100))*1.1023</f>
        <v>0</v>
      </c>
      <c r="S102" t="s">
        <v>535</v>
      </c>
      <c r="U102" t="s">
        <v>677</v>
      </c>
      <c r="V102" s="72">
        <f>SUMPRODUCT(U72:U100,W72:W100)</f>
        <v>0</v>
      </c>
      <c r="W102" t="s">
        <v>534</v>
      </c>
      <c r="X102" s="4">
        <f>V102/35.315*(37/100/(1-50/100))*1.1023</f>
        <v>0</v>
      </c>
      <c r="Y102" t="s">
        <v>535</v>
      </c>
      <c r="AA102" t="s">
        <v>677</v>
      </c>
      <c r="AB102" s="72">
        <f>SUMPRODUCT(AA72:AA100,AC72:AC100)</f>
        <v>0</v>
      </c>
      <c r="AC102" t="s">
        <v>534</v>
      </c>
      <c r="AD102" s="4">
        <f>AB102/35.315*(34/100/(1-50/100))*1.1023</f>
        <v>0</v>
      </c>
      <c r="AE102" t="s">
        <v>535</v>
      </c>
      <c r="AG102" t="s">
        <v>677</v>
      </c>
      <c r="AH102" s="72">
        <f>SUMPRODUCT(AG72:AG100,AI72:AI100)</f>
        <v>0</v>
      </c>
      <c r="AI102" t="s">
        <v>534</v>
      </c>
      <c r="AJ102" s="4">
        <f>AH102/35.315*(36/100/(1-50/100))*1.1023</f>
        <v>0</v>
      </c>
      <c r="AK102" t="s">
        <v>535</v>
      </c>
      <c r="AL102" s="169">
        <f>SUMPRODUCT(AL72:AL100,C72:C100)</f>
        <v>10.8</v>
      </c>
      <c r="AM102" s="169">
        <f>SUMPRODUCT(AM72:AM100,C72:C100)</f>
        <v>107.1</v>
      </c>
      <c r="AN102" s="169">
        <f>SUMPRODUCT(AN72:AN100,I72:I100)</f>
        <v>0</v>
      </c>
      <c r="AO102" s="169">
        <f>SUMPRODUCT(AO72:AO100,I72:I100)</f>
        <v>0</v>
      </c>
      <c r="AP102" s="169">
        <f>SUMPRODUCT(AP72:AP100,O72:O100)</f>
        <v>0</v>
      </c>
      <c r="AQ102" s="169">
        <f>SUMPRODUCT(AQ72:AQ100,O72:O100)</f>
        <v>0</v>
      </c>
      <c r="AR102" s="169">
        <f>SUMPRODUCT(AR72:AR100,U72:U100)</f>
        <v>0</v>
      </c>
      <c r="AS102" s="169">
        <f>SUMPRODUCT(AS72:AS100,U72:U100)</f>
        <v>0</v>
      </c>
      <c r="AT102" s="169">
        <f>SUMPRODUCT(AT72:AT100,AA72:AA100)</f>
        <v>0</v>
      </c>
      <c r="AU102" s="169">
        <f>SUMPRODUCT(AU72:AU100,AA72:AA100)</f>
        <v>0</v>
      </c>
    </row>
    <row r="103" spans="2:47" x14ac:dyDescent="0.2">
      <c r="B103"/>
      <c r="C103" t="s">
        <v>120</v>
      </c>
      <c r="D103" s="156">
        <f>SUM(G68:G100)</f>
        <v>10.788911520024193</v>
      </c>
      <c r="E103" t="s">
        <v>535</v>
      </c>
      <c r="F103" s="157">
        <f>D103*35.315/(38/100/(1-50/100))/1.1023</f>
        <v>454.80312734814567</v>
      </c>
      <c r="G103" t="s">
        <v>534</v>
      </c>
      <c r="I103" t="s">
        <v>120</v>
      </c>
      <c r="J103" s="156">
        <f>SUM(M68:M100)</f>
        <v>0</v>
      </c>
      <c r="K103" t="s">
        <v>535</v>
      </c>
      <c r="L103" s="157">
        <f>J103*35.315/(45/100/(1-50/100))/1.1023</f>
        <v>0</v>
      </c>
      <c r="M103" t="s">
        <v>534</v>
      </c>
      <c r="O103" t="s">
        <v>120</v>
      </c>
      <c r="P103" s="156">
        <f>SUM(S68:S100)</f>
        <v>0</v>
      </c>
      <c r="Q103" t="s">
        <v>535</v>
      </c>
      <c r="R103" s="157">
        <f>P103*35.315/(35/100/(1-50/100))/1.1023</f>
        <v>0</v>
      </c>
      <c r="S103" t="s">
        <v>534</v>
      </c>
      <c r="U103" t="s">
        <v>120</v>
      </c>
      <c r="V103" s="156">
        <f>SUM(Y68:Y100)</f>
        <v>0</v>
      </c>
      <c r="W103" t="s">
        <v>535</v>
      </c>
      <c r="X103" s="157">
        <f>V103*35.315/(37/100/(1-50/100))/1.1023</f>
        <v>0</v>
      </c>
      <c r="Y103" t="s">
        <v>534</v>
      </c>
      <c r="AA103" t="s">
        <v>120</v>
      </c>
      <c r="AB103" s="156">
        <f>SUM(AE68:AE100)</f>
        <v>0</v>
      </c>
      <c r="AC103" t="s">
        <v>535</v>
      </c>
      <c r="AD103" s="157">
        <f>AB103*35.315/(34/100/(1-50/100))/1.1023</f>
        <v>0</v>
      </c>
      <c r="AE103" t="s">
        <v>534</v>
      </c>
      <c r="AG103" t="s">
        <v>120</v>
      </c>
      <c r="AH103" s="156">
        <f>SUM(AK68:AK100)</f>
        <v>0</v>
      </c>
      <c r="AI103" t="s">
        <v>535</v>
      </c>
      <c r="AJ103" s="157">
        <f>AH103*35.315/(36/100/(1-50/100))/1.1023</f>
        <v>0</v>
      </c>
      <c r="AK103" t="s">
        <v>534</v>
      </c>
      <c r="AL103" t="s">
        <v>546</v>
      </c>
      <c r="AM103" s="125">
        <f>SUM(AL102,AN102,AP102,AR102,AT102)</f>
        <v>10.8</v>
      </c>
      <c r="AN103" t="s">
        <v>547</v>
      </c>
      <c r="AP103" s="125">
        <f>AM103/E6</f>
        <v>0.24215246636771301</v>
      </c>
    </row>
    <row r="104" spans="2:47" x14ac:dyDescent="0.2">
      <c r="B104"/>
      <c r="L104" s="26"/>
      <c r="M104" s="26"/>
      <c r="AL104" t="s">
        <v>548</v>
      </c>
      <c r="AM104" s="125">
        <f>SUM(AM102,AO102,AQ102,AS102,AU102)</f>
        <v>107.1</v>
      </c>
      <c r="AN104" t="s">
        <v>549</v>
      </c>
      <c r="AP104" s="221">
        <f>AM104/E6</f>
        <v>2.4013452914798203</v>
      </c>
    </row>
    <row r="105" spans="2:47" x14ac:dyDescent="0.2">
      <c r="AE105" s="26"/>
    </row>
    <row r="107" spans="2:47" ht="16" thickBot="1" x14ac:dyDescent="0.25"/>
    <row r="108" spans="2:47" ht="25" thickBot="1" x14ac:dyDescent="0.25">
      <c r="B108" s="1068" t="s">
        <v>678</v>
      </c>
      <c r="C108" s="1069"/>
      <c r="D108" s="1069"/>
      <c r="E108" s="1069"/>
      <c r="F108" s="1069"/>
      <c r="G108" s="1069"/>
      <c r="H108" s="1069"/>
      <c r="I108" s="1069"/>
      <c r="J108" s="1069"/>
      <c r="K108" s="1069"/>
      <c r="L108" s="1069"/>
      <c r="M108" s="1069"/>
      <c r="N108" s="1069"/>
      <c r="O108" s="1069"/>
      <c r="P108" s="1069"/>
      <c r="Q108" s="1069"/>
      <c r="R108" s="1069"/>
      <c r="S108" s="1069"/>
      <c r="T108" s="1069"/>
      <c r="U108" s="1069"/>
      <c r="V108" s="1069"/>
      <c r="W108" s="1069"/>
      <c r="X108" s="1069"/>
      <c r="Y108" s="1069"/>
      <c r="Z108" s="1069"/>
      <c r="AA108" s="1069"/>
      <c r="AB108" s="1069"/>
      <c r="AC108" s="1069"/>
      <c r="AD108" s="1069"/>
      <c r="AE108" s="1069"/>
      <c r="AF108" s="1069"/>
      <c r="AG108" s="1069"/>
      <c r="AH108" s="1069"/>
      <c r="AI108" s="1069"/>
      <c r="AJ108" s="1069"/>
      <c r="AK108" s="1070"/>
      <c r="AL108">
        <v>16</v>
      </c>
    </row>
    <row r="109" spans="2:47" x14ac:dyDescent="0.2">
      <c r="B109" s="1071" t="s">
        <v>521</v>
      </c>
      <c r="C109" s="1072"/>
      <c r="D109" s="1072"/>
      <c r="E109" s="1072"/>
      <c r="F109" s="1072"/>
      <c r="G109" s="1073"/>
      <c r="H109" s="1094" t="s">
        <v>90</v>
      </c>
      <c r="I109" s="1080"/>
      <c r="J109" s="1080"/>
      <c r="K109" s="1080"/>
      <c r="L109" s="1080"/>
      <c r="M109" s="1082"/>
      <c r="N109" s="1077" t="s">
        <v>522</v>
      </c>
      <c r="O109" s="1078"/>
      <c r="P109" s="1078"/>
      <c r="Q109" s="1078"/>
      <c r="R109" s="1078"/>
      <c r="S109" s="406"/>
      <c r="T109" s="1081" t="s">
        <v>92</v>
      </c>
      <c r="U109" s="1076"/>
      <c r="V109" s="1076"/>
      <c r="W109" s="1076"/>
      <c r="X109" s="1076"/>
      <c r="Y109" s="1095"/>
      <c r="Z109" s="1074" t="s">
        <v>93</v>
      </c>
      <c r="AA109" s="1075"/>
      <c r="AB109" s="1075"/>
      <c r="AC109" s="1075"/>
      <c r="AD109" s="1075"/>
      <c r="AE109" s="1075"/>
      <c r="AF109" s="1062" t="s">
        <v>523</v>
      </c>
      <c r="AG109" s="1063"/>
      <c r="AH109" s="1063"/>
      <c r="AI109" s="1063"/>
      <c r="AJ109" s="1063"/>
      <c r="AK109" s="1064"/>
    </row>
    <row r="110" spans="2:47" x14ac:dyDescent="0.2">
      <c r="B110" s="16" t="s">
        <v>287</v>
      </c>
      <c r="C110" s="66" t="s">
        <v>524</v>
      </c>
      <c r="D110" s="66" t="s">
        <v>525</v>
      </c>
      <c r="E110" s="66" t="s">
        <v>526</v>
      </c>
      <c r="F110" s="66" t="s">
        <v>527</v>
      </c>
      <c r="G110" s="67" t="s">
        <v>120</v>
      </c>
      <c r="H110" s="133" t="s">
        <v>287</v>
      </c>
      <c r="I110" s="134" t="s">
        <v>524</v>
      </c>
      <c r="J110" s="134" t="s">
        <v>525</v>
      </c>
      <c r="K110" s="134" t="s">
        <v>526</v>
      </c>
      <c r="L110" s="134" t="s">
        <v>527</v>
      </c>
      <c r="M110" s="135" t="s">
        <v>120</v>
      </c>
      <c r="N110" s="19" t="s">
        <v>287</v>
      </c>
      <c r="O110" s="213" t="s">
        <v>524</v>
      </c>
      <c r="P110" s="213" t="s">
        <v>525</v>
      </c>
      <c r="Q110" s="213" t="s">
        <v>526</v>
      </c>
      <c r="R110" s="213" t="s">
        <v>527</v>
      </c>
      <c r="S110" s="68" t="s">
        <v>120</v>
      </c>
      <c r="T110" s="22" t="s">
        <v>287</v>
      </c>
      <c r="U110" s="69" t="s">
        <v>524</v>
      </c>
      <c r="V110" s="69" t="s">
        <v>525</v>
      </c>
      <c r="W110" s="69" t="s">
        <v>526</v>
      </c>
      <c r="X110" s="69" t="s">
        <v>527</v>
      </c>
      <c r="Y110" s="70" t="s">
        <v>120</v>
      </c>
      <c r="Z110" s="24" t="s">
        <v>287</v>
      </c>
      <c r="AA110" s="71" t="s">
        <v>524</v>
      </c>
      <c r="AB110" s="71" t="s">
        <v>525</v>
      </c>
      <c r="AC110" s="71" t="s">
        <v>526</v>
      </c>
      <c r="AD110" s="71" t="s">
        <v>527</v>
      </c>
      <c r="AE110" s="71" t="s">
        <v>120</v>
      </c>
      <c r="AF110" s="546" t="s">
        <v>287</v>
      </c>
      <c r="AG110" s="547" t="s">
        <v>524</v>
      </c>
      <c r="AH110" s="547" t="s">
        <v>525</v>
      </c>
      <c r="AI110" s="547" t="s">
        <v>526</v>
      </c>
      <c r="AJ110" s="547" t="s">
        <v>527</v>
      </c>
      <c r="AK110" s="548" t="s">
        <v>120</v>
      </c>
    </row>
    <row r="111" spans="2:47" x14ac:dyDescent="0.2">
      <c r="B111" s="16" t="s">
        <v>528</v>
      </c>
      <c r="C111" s="66" t="s">
        <v>529</v>
      </c>
      <c r="D111" s="66" t="s">
        <v>530</v>
      </c>
      <c r="E111" s="66" t="s">
        <v>531</v>
      </c>
      <c r="F111" s="66" t="s">
        <v>124</v>
      </c>
      <c r="G111" s="61" t="s">
        <v>532</v>
      </c>
      <c r="H111" s="136" t="s">
        <v>528</v>
      </c>
      <c r="I111" s="137" t="s">
        <v>529</v>
      </c>
      <c r="J111" s="137" t="s">
        <v>530</v>
      </c>
      <c r="K111" s="137" t="s">
        <v>531</v>
      </c>
      <c r="L111" s="137" t="s">
        <v>124</v>
      </c>
      <c r="M111" s="138" t="s">
        <v>532</v>
      </c>
      <c r="N111" s="21" t="s">
        <v>528</v>
      </c>
      <c r="O111" s="131" t="s">
        <v>529</v>
      </c>
      <c r="P111" s="131" t="s">
        <v>530</v>
      </c>
      <c r="Q111" s="131" t="s">
        <v>531</v>
      </c>
      <c r="R111" s="131" t="s">
        <v>124</v>
      </c>
      <c r="S111" s="62" t="s">
        <v>532</v>
      </c>
      <c r="T111" s="23" t="s">
        <v>528</v>
      </c>
      <c r="U111" s="63" t="s">
        <v>529</v>
      </c>
      <c r="V111" s="63" t="s">
        <v>530</v>
      </c>
      <c r="W111" s="63" t="s">
        <v>531</v>
      </c>
      <c r="X111" s="63" t="s">
        <v>124</v>
      </c>
      <c r="Y111" s="64" t="s">
        <v>532</v>
      </c>
      <c r="Z111" s="25" t="s">
        <v>528</v>
      </c>
      <c r="AA111" s="65" t="s">
        <v>529</v>
      </c>
      <c r="AB111" s="65" t="s">
        <v>530</v>
      </c>
      <c r="AC111" s="65" t="s">
        <v>531</v>
      </c>
      <c r="AD111" s="65" t="s">
        <v>124</v>
      </c>
      <c r="AE111" s="65" t="s">
        <v>532</v>
      </c>
      <c r="AF111" s="549" t="s">
        <v>528</v>
      </c>
      <c r="AG111" s="550" t="s">
        <v>529</v>
      </c>
      <c r="AH111" s="550" t="s">
        <v>530</v>
      </c>
      <c r="AI111" s="550" t="s">
        <v>531</v>
      </c>
      <c r="AJ111" s="550" t="s">
        <v>124</v>
      </c>
      <c r="AK111" s="551" t="s">
        <v>532</v>
      </c>
      <c r="AL111" s="71" t="s">
        <v>544</v>
      </c>
      <c r="AM111" s="71" t="s">
        <v>545</v>
      </c>
      <c r="AN111" s="71" t="s">
        <v>544</v>
      </c>
      <c r="AO111" s="71" t="s">
        <v>545</v>
      </c>
      <c r="AP111" s="71" t="s">
        <v>544</v>
      </c>
      <c r="AQ111" s="71" t="s">
        <v>545</v>
      </c>
      <c r="AR111" s="71" t="s">
        <v>544</v>
      </c>
      <c r="AS111" s="71" t="s">
        <v>545</v>
      </c>
      <c r="AT111" s="71" t="s">
        <v>544</v>
      </c>
      <c r="AU111" s="71" t="s">
        <v>545</v>
      </c>
    </row>
    <row r="112" spans="2:47" x14ac:dyDescent="0.2">
      <c r="B112" s="152">
        <v>3</v>
      </c>
      <c r="C112" s="153">
        <f>Input!H7</f>
        <v>75.7</v>
      </c>
      <c r="D112" s="154">
        <f>3.281*(1.3+EXP(4.5503-11.4582*(B112*2.54)^-0.5994))</f>
        <v>14.712327270809485</v>
      </c>
      <c r="E112" s="154">
        <v>0</v>
      </c>
      <c r="F112" s="154">
        <f>E112*C112</f>
        <v>0</v>
      </c>
      <c r="G112" s="155">
        <f>C112*((EXP(-4.2612+2.0967*LN(B112*2.54))/((100-50)/100)/1000)+(EXP(-5.3855+2.7185*LN(B112*2.54))/((100-50)/100)/1000)+(EXP(-2.5766+1.444*LN(B112*2.54))/((100-50)/100)/1000)+(EXP(-4.2063+2.2312*LN(B112*2.54))/((100-50)/100)/1000)+(EXP(-4.4907+2.7587*LN(B112*2.54))/((100-50)/100)/1000))</f>
        <v>1.2099549966230643</v>
      </c>
      <c r="H112" s="139">
        <v>3</v>
      </c>
      <c r="I112" s="140">
        <f>Input!J7</f>
        <v>0</v>
      </c>
      <c r="J112" s="146">
        <f>3.281*(1.3+EXP(5.7567-6.7792*(H112*2.54)^-0.2795))</f>
        <v>26.503992422438134</v>
      </c>
      <c r="K112" s="146">
        <v>0</v>
      </c>
      <c r="L112" s="146">
        <f>K112*I112</f>
        <v>0</v>
      </c>
      <c r="M112" s="158">
        <f>I112*((EXP(-2.8462+1.7009*LN(H112*2.54))/((100-50)/100)/1000)+(EXP(-3.6941+2.1382*LN(H112*2.54))/((100-50)/100)/1000)+(EXP(-3.529+1.7503*LN(H112*2.54))/((100-50)/100)/1000)+(EXP(-4.3103+2.43*LN(H112*2.54))/((100-50)/100)/1000)+(EXP(-3.0396+2.5951*LN(H112*2.54))/((100-50)/100)/1000))</f>
        <v>0</v>
      </c>
      <c r="N112" s="74">
        <v>3</v>
      </c>
      <c r="O112" s="75">
        <f>Input!L7</f>
        <v>0</v>
      </c>
      <c r="P112" s="99">
        <f>3.281*(1.3+EXP(14.7373-15.4469*(N112*2.54)^-0.0728))</f>
        <v>17.748390122389033</v>
      </c>
      <c r="Q112" s="99">
        <v>0</v>
      </c>
      <c r="R112" s="99">
        <f>Q112*O112</f>
        <v>0</v>
      </c>
      <c r="S112" s="160">
        <f>O112*((EXP(-2.617+1.7824*LN(N112*2.54))/((100-50)/100)/1000)+(EXP(-3.2661+2.0877*LN(N112*2.54))/((100-50)/100)/1000)+(EXP(-4.1934+2.1101*LN(N112*2.54))/((100-50)/100)/1000)+(EXP(-2.0927+2.1863*LN(N112*2.54))/((100-50)/100)/1000))</f>
        <v>0</v>
      </c>
      <c r="T112" s="77">
        <v>3</v>
      </c>
      <c r="U112" s="78">
        <f>Input!N7</f>
        <v>0</v>
      </c>
      <c r="V112" s="100">
        <f>3.281*(1.3+EXP(5.3528-7.3394*(T112*2.54)^-0.3505))</f>
        <v>23.162573642669084</v>
      </c>
      <c r="W112" s="100">
        <v>0</v>
      </c>
      <c r="X112" s="100">
        <f>W112*U112</f>
        <v>0</v>
      </c>
      <c r="Y112" s="162">
        <f>U112*((EXP(-3.4662+1.9278*LN(T112*2.54))/((100-50)/100)/1000)+(EXP(-4.8287+2.5585*LN(T112*2.54))/((100-50)/100)/1000)+(EXP(-6.1918+2.8796*LN(T112*2.54))/((100-50)/100)/1000)+(EXP(-3.7389+2.6825*LN(T112*2.54))/((100-50)/100)/1000))</f>
        <v>0</v>
      </c>
      <c r="Z112" s="79">
        <v>3</v>
      </c>
      <c r="AA112" s="80">
        <f>Input!P7</f>
        <v>0</v>
      </c>
      <c r="AB112" s="101">
        <f>3.281*(1.3+EXP(4.893-7.9038*(Z112*2.54)^-0.4113))</f>
        <v>18.458697076655262</v>
      </c>
      <c r="AC112" s="101">
        <v>0</v>
      </c>
      <c r="AD112" s="101">
        <f>AC112*AA112</f>
        <v>0</v>
      </c>
      <c r="AE112" s="426">
        <f>AA112*((EXP(-4.023+2.0327*LN(Z112*2.54))/((100-50)/100)/1000)+(EXP(-7.637+3.3648*LN(Z112*2.54))/((100-50)/100)/1000)+(EXP(-5.295+2.6184*LN(Z112*2.54))/((100-50)/100)/1000)+(EXP(-3.984+2.6667*LN(Z112*2.54))/((100-50)/100)/1000))</f>
        <v>0</v>
      </c>
      <c r="AF112" s="552">
        <v>3</v>
      </c>
      <c r="AG112" s="553">
        <f>Input!R7</f>
        <v>0</v>
      </c>
      <c r="AH112" s="567">
        <f>3.281*(1.37+50.2*(1-EXP(-0.0118*(AF112*2.54)^1.1535)))</f>
        <v>23.529100953554984</v>
      </c>
      <c r="AI112" s="567"/>
      <c r="AJ112" s="567"/>
      <c r="AK112" s="555">
        <f>((0.03088*(AF112*2.54)^1.10021*(AH112/3.281)^1.09925)+(0.01613*(AF112*2.54)^1.90578*(AH112/3.281)^0.70112)+(0.03886*(AF112*2.54)^1.53515*(AH112/3.281)^0.31776))/907.2*AG112</f>
        <v>0</v>
      </c>
    </row>
    <row r="113" spans="2:49" x14ac:dyDescent="0.2">
      <c r="B113" s="16">
        <v>4</v>
      </c>
      <c r="C113" s="73">
        <f>Input!H8</f>
        <v>0</v>
      </c>
      <c r="D113" s="98">
        <f>3.281*(1.3+EXP(4.5503-11.4582*(B113*2.54)^-0.5994))</f>
        <v>22.143669572433836</v>
      </c>
      <c r="E113" s="98">
        <v>0</v>
      </c>
      <c r="F113" s="98">
        <f t="shared" ref="F113:F144" si="68">E113*C113</f>
        <v>0</v>
      </c>
      <c r="G113" s="155">
        <f>C113*((EXP(-4.2612+2.0967*LN(B113*2.54))/((100-50)/100)/1000)+(EXP(-5.3855+2.7185*LN(B113*2.54))/((100-50)/100)/1000)+(EXP(-2.5766+1.444*LN(B113*2.54))/((100-50)/100)/1000)+(EXP(-4.2063+2.2312*LN(B113*2.54))/((100-50)/100)/1000)+(EXP(-4.4907+2.7587*LN(B113*2.54))/((100-50)/100)/1000))</f>
        <v>0</v>
      </c>
      <c r="H113" s="139">
        <v>4</v>
      </c>
      <c r="I113" s="140">
        <f>Input!J8</f>
        <v>0</v>
      </c>
      <c r="J113" s="146">
        <f>3.281*(1.3+EXP(5.7567-6.7792*(H113*2.54)^-0.2795))</f>
        <v>34.191750702403688</v>
      </c>
      <c r="K113" s="146">
        <v>0</v>
      </c>
      <c r="L113" s="146">
        <f t="shared" ref="L113:L144" si="69">K113*I113</f>
        <v>0</v>
      </c>
      <c r="M113" s="158">
        <f>I113*((EXP(-2.8462+1.7009*LN(H113*2.54))/((100-50)/100)/1000)+(EXP(-3.6941+2.1382*LN(H113*2.54))/((100-50)/100)/1000)+(EXP(-3.529+1.7503*LN(H113*2.54))/((100-50)/100)/1000)+(EXP(-4.3103+2.43*LN(H113*2.54))/((100-50)/100)/1000)+(EXP(-3.0396+2.5951*LN(H113*2.54))/((100-50)/100)/1000))</f>
        <v>0</v>
      </c>
      <c r="N113" s="74">
        <v>4</v>
      </c>
      <c r="O113" s="75">
        <f>Input!L8</f>
        <v>0</v>
      </c>
      <c r="P113" s="99">
        <f>3.281*(1.3+EXP(14.7373-15.4469*(N113*2.54)^-0.0728))</f>
        <v>22.03656272765819</v>
      </c>
      <c r="Q113" s="99">
        <v>0</v>
      </c>
      <c r="R113" s="99">
        <f t="shared" ref="R113:R144" si="70">Q113*O113</f>
        <v>0</v>
      </c>
      <c r="S113" s="160">
        <f>O113*((EXP(-2.617+1.7824*LN(N113*2.54))/((100-50)/100)/1000)+(EXP(-3.2661+2.0877*LN(N113*2.54))/((100-50)/100)/1000)+(EXP(-4.1934+2.1101*LN(N113*2.54))/((100-50)/100)/1000)+(EXP(-2.0927+2.1863*LN(N113*2.54))/((100-50)/100)/1000))</f>
        <v>0</v>
      </c>
      <c r="T113" s="77">
        <v>4</v>
      </c>
      <c r="U113" s="78">
        <f>Input!N8</f>
        <v>0</v>
      </c>
      <c r="V113" s="100">
        <f>3.281*(1.3+EXP(5.3528-7.3394*(T113*2.54)^-0.3505))</f>
        <v>30.960906851702745</v>
      </c>
      <c r="W113" s="100">
        <v>0</v>
      </c>
      <c r="X113" s="100">
        <f t="shared" ref="X113:X144" si="71">W113*U113</f>
        <v>0</v>
      </c>
      <c r="Y113" s="162">
        <f>U113*((EXP(-3.4662+1.9278*LN(T113*2.54))/((100-50)/100)/1000)+(EXP(-4.8287+2.5585*LN(T113*2.54))/((100-50)/100)/1000)+(EXP(-6.1918+2.8796*LN(T113*2.54))/((100-50)/100)/1000)+(EXP(-3.7389+2.6825*LN(T113*2.54))/((100-50)/100)/1000))</f>
        <v>0</v>
      </c>
      <c r="Z113" s="79">
        <v>4</v>
      </c>
      <c r="AA113" s="80">
        <f>Input!P8</f>
        <v>0</v>
      </c>
      <c r="AB113" s="101">
        <f>3.281*(1.3+EXP(4.893-7.9038*(Z113*2.54)^-0.4113))</f>
        <v>25.073643171835425</v>
      </c>
      <c r="AC113" s="101">
        <v>0</v>
      </c>
      <c r="AD113" s="101">
        <f t="shared" ref="AD113:AD144" si="72">AC113*AA113</f>
        <v>0</v>
      </c>
      <c r="AE113" s="80">
        <f>AA113*((EXP(-4.023+2.0327*LN(Z113*2.54))/((100-50)/100)/1000)+(EXP(-7.637+3.3648*LN(Z113*2.54))/((100-50)/100)/1000)+(EXP(-5.295+2.6184*LN(Z113*2.54))/((100-50)/100)/1000)+(EXP(-3.984+2.6667*LN(Z113*2.54))/((100-50)/100)/1000))</f>
        <v>0</v>
      </c>
      <c r="AF113" s="552">
        <v>4</v>
      </c>
      <c r="AG113" s="553">
        <f>Input!R8</f>
        <v>0</v>
      </c>
      <c r="AH113" s="567">
        <f>3.281*(1.37+50.2*(1-EXP(-0.0118*(AF113*2.54)^1.1535)))</f>
        <v>30.401700337024163</v>
      </c>
      <c r="AI113" s="567"/>
      <c r="AJ113" s="567"/>
      <c r="AK113" s="555">
        <f t="shared" ref="AK113:AK115" si="73">((0.03088*(AF113*2.54)^1.10021*(AH113/3.281)^1.09925)+(0.01613*(AF113*2.54)^1.90578*(AH113/3.281)^0.70112)+(0.03886*(AF113*2.54)^1.53515*(AH113/3.281)^0.31776))/907.2*AG113</f>
        <v>0</v>
      </c>
    </row>
    <row r="114" spans="2:49" x14ac:dyDescent="0.2">
      <c r="B114" s="16">
        <v>5</v>
      </c>
      <c r="C114" s="73">
        <f>Input!H9</f>
        <v>0</v>
      </c>
      <c r="D114" s="98">
        <f>3.281*(1.3+EXP(4.5503-11.4582*(B114*2.54)^-0.5994))</f>
        <v>29.824575657206786</v>
      </c>
      <c r="E114" s="98">
        <v>0</v>
      </c>
      <c r="F114" s="98">
        <f t="shared" si="68"/>
        <v>0</v>
      </c>
      <c r="G114" s="155">
        <f>C114*((EXP(-4.2612+2.0967*LN(B114*2.54))/((100-50)/100)/1000)+(EXP(-5.3855+2.7185*LN(B114*2.54))/((100-50)/100)/1000)+(EXP(-2.5766+1.444*LN(B114*2.54))/((100-50)/100)/1000)+(EXP(-4.2063+2.2312*LN(B114*2.54))/((100-50)/100)/1000)+(EXP(-4.4907+2.7587*LN(B114*2.54))/((100-50)/100)/1000))</f>
        <v>0</v>
      </c>
      <c r="H114" s="139">
        <v>5</v>
      </c>
      <c r="I114" s="140">
        <f>Input!J9</f>
        <v>0</v>
      </c>
      <c r="J114" s="146">
        <f>3.281*(1.3+EXP(5.7567-6.7792*(H114*2.54)^-0.2795))</f>
        <v>41.34808034366398</v>
      </c>
      <c r="K114" s="146">
        <v>0</v>
      </c>
      <c r="L114" s="146">
        <f t="shared" si="69"/>
        <v>0</v>
      </c>
      <c r="M114" s="158">
        <f>I114*((EXP(-2.8462+1.7009*LN(H114*2.54))/((100-50)/100)/1000)+(EXP(-3.6941+2.1382*LN(H114*2.54))/((100-50)/100)/1000)+(EXP(-3.529+1.7503*LN(H114*2.54))/((100-50)/100)/1000)+(EXP(-4.3103+2.43*LN(H114*2.54))/((100-50)/100)/1000)+(EXP(-3.0396+2.5951*LN(H114*2.54))/((100-50)/100)/1000))</f>
        <v>0</v>
      </c>
      <c r="N114" s="74">
        <v>5</v>
      </c>
      <c r="O114" s="75">
        <f>Input!L9</f>
        <v>0</v>
      </c>
      <c r="P114" s="99">
        <f>3.281*(1.3+EXP(14.7373-15.4469*(N114*2.54)^-0.0728))</f>
        <v>26.19476081289945</v>
      </c>
      <c r="Q114" s="99">
        <v>0</v>
      </c>
      <c r="R114" s="99">
        <f t="shared" si="70"/>
        <v>0</v>
      </c>
      <c r="S114" s="160">
        <f>O114*((EXP(-2.617+1.7824*LN(N114*2.54))/((100-50)/100)/1000)+(EXP(-3.2661+2.0877*LN(N114*2.54))/((100-50)/100)/1000)+(EXP(-4.1934+2.1101*LN(N114*2.54))/((100-50)/100)/1000)+(EXP(-2.0927+2.1863*LN(N114*2.54))/((100-50)/100)/1000))</f>
        <v>0</v>
      </c>
      <c r="T114" s="77">
        <v>5</v>
      </c>
      <c r="U114" s="78">
        <f>Input!N9</f>
        <v>0</v>
      </c>
      <c r="V114" s="100">
        <f>3.281*(1.3+EXP(5.3528-7.3394*(T114*2.54)^-0.3505))</f>
        <v>38.371749119070699</v>
      </c>
      <c r="W114" s="100">
        <v>0</v>
      </c>
      <c r="X114" s="100">
        <f t="shared" si="71"/>
        <v>0</v>
      </c>
      <c r="Y114" s="162">
        <f>U114*((EXP(-3.4662+1.9278*LN(T114*2.54))/((100-50)/100)/1000)+(EXP(-4.8287+2.5585*LN(T114*2.54))/((100-50)/100)/1000)+(EXP(-6.1918+2.8796*LN(T114*2.54))/((100-50)/100)/1000)+(EXP(-3.7389+2.6825*LN(T114*2.54))/((100-50)/100)/1000))</f>
        <v>0</v>
      </c>
      <c r="Z114" s="79">
        <v>5</v>
      </c>
      <c r="AA114" s="80">
        <f>Input!P9</f>
        <v>0</v>
      </c>
      <c r="AB114" s="101">
        <f>3.281*(1.3+EXP(4.893-7.9038*(Z114*2.54)^-0.4113))</f>
        <v>31.444431786456917</v>
      </c>
      <c r="AC114" s="101">
        <v>0</v>
      </c>
      <c r="AD114" s="101">
        <f t="shared" si="72"/>
        <v>0</v>
      </c>
      <c r="AE114" s="80">
        <f>AA114*((EXP(-4.023+2.0327*LN(Z114*2.54))/((100-50)/100)/1000)+(EXP(-7.637+3.3648*LN(Z114*2.54))/((100-50)/100)/1000)+(EXP(-5.295+2.6184*LN(Z114*2.54))/((100-50)/100)/1000)+(EXP(-3.984+2.6667*LN(Z114*2.54))/((100-50)/100)/1000))</f>
        <v>0</v>
      </c>
      <c r="AF114" s="552">
        <v>5</v>
      </c>
      <c r="AG114" s="553">
        <f>Input!R9</f>
        <v>0</v>
      </c>
      <c r="AH114" s="567">
        <f>3.281*(1.37+50.2*(1-EXP(-0.0118*(AF114*2.54)^1.1535)))</f>
        <v>37.20236686563085</v>
      </c>
      <c r="AI114" s="567"/>
      <c r="AJ114" s="567"/>
      <c r="AK114" s="555">
        <f t="shared" si="73"/>
        <v>0</v>
      </c>
    </row>
    <row r="115" spans="2:49" x14ac:dyDescent="0.2">
      <c r="B115" s="16">
        <v>6</v>
      </c>
      <c r="C115" s="81">
        <f>Input!H10</f>
        <v>49.8</v>
      </c>
      <c r="D115" s="98">
        <f>3.281*(1.3+EXP(4.5503-11.4582*(B115*2.54)^-0.5994))</f>
        <v>37.365708038333231</v>
      </c>
      <c r="E115" s="98">
        <v>0</v>
      </c>
      <c r="F115" s="98">
        <f t="shared" si="68"/>
        <v>0</v>
      </c>
      <c r="G115" s="155">
        <f>C115*((EXP(-4.2612+2.0967*LN(B115*2.54))/((100-50)/100)/1000)+(EXP(-5.3855+2.7185*LN(B115*2.54))/((100-50)/100)/1000)+(EXP(-2.5766+1.444*LN(B115*2.54))/((100-50)/100)/1000)+(EXP(-4.2063+2.2312*LN(B115*2.54))/((100-50)/100)/1000)+(EXP(-4.4907+2.7587*LN(B115*2.54))/((100-50)/100)/1000))</f>
        <v>4.2576240488102783</v>
      </c>
      <c r="H115" s="139">
        <v>6</v>
      </c>
      <c r="I115" s="142">
        <f>Input!J10</f>
        <v>0</v>
      </c>
      <c r="J115" s="146">
        <f>3.281*(1.3+EXP(5.7567-6.7792*(H115*2.54)^-0.2795))</f>
        <v>48.023492213128563</v>
      </c>
      <c r="K115" s="146">
        <v>0</v>
      </c>
      <c r="L115" s="146">
        <f t="shared" si="69"/>
        <v>0</v>
      </c>
      <c r="M115" s="158">
        <f>I115*((EXP(-2.8462+1.7009*LN(H115*2.54))/((100-50)/100)/1000)+(EXP(-3.6941+2.1382*LN(H115*2.54))/((100-50)/100)/1000)+(EXP(-3.529+1.7503*LN(H115*2.54))/((100-50)/100)/1000)+(EXP(-4.3103+2.43*LN(H115*2.54))/((100-50)/100)/1000)+(EXP(-3.0396+2.5951*LN(H115*2.54))/((100-50)/100)/1000))</f>
        <v>0</v>
      </c>
      <c r="N115" s="74">
        <v>6</v>
      </c>
      <c r="O115" s="83">
        <f>Input!L10</f>
        <v>0</v>
      </c>
      <c r="P115" s="99">
        <f>3.281*(1.3+EXP(14.7373-15.4469*(N115*2.54)^-0.0728))</f>
        <v>30.23937581569994</v>
      </c>
      <c r="Q115" s="99">
        <v>0</v>
      </c>
      <c r="R115" s="99">
        <f t="shared" si="70"/>
        <v>0</v>
      </c>
      <c r="S115" s="160">
        <f>O115*((EXP(-2.617+1.7824*LN(N115*2.54))/((100-50)/100)/1000)+(EXP(-3.2661+2.0877*LN(N115*2.54))/((100-50)/100)/1000)+(EXP(-4.1934+2.1101*LN(N115*2.54))/((100-50)/100)/1000)+(EXP(-2.0927+2.1863*LN(N115*2.54))/((100-50)/100)/1000))</f>
        <v>0</v>
      </c>
      <c r="T115" s="77">
        <v>6</v>
      </c>
      <c r="U115" s="85">
        <f>Input!N10</f>
        <v>0</v>
      </c>
      <c r="V115" s="100">
        <f>3.281*(1.3+EXP(5.3528-7.3394*(T115*2.54)^-0.3505))</f>
        <v>45.361269109326905</v>
      </c>
      <c r="W115" s="100">
        <v>0</v>
      </c>
      <c r="X115" s="100">
        <f t="shared" si="71"/>
        <v>0</v>
      </c>
      <c r="Y115" s="162">
        <f>U115*((EXP(-3.4662+1.9278*LN(T115*2.54))/((100-50)/100)/1000)+(EXP(-4.8287+2.5585*LN(T115*2.54))/((100-50)/100)/1000)+(EXP(-6.1918+2.8796*LN(T115*2.54))/((100-50)/100)/1000)+(EXP(-3.7389+2.6825*LN(T115*2.54))/((100-50)/100)/1000))</f>
        <v>0</v>
      </c>
      <c r="Z115" s="79">
        <v>6</v>
      </c>
      <c r="AA115" s="87">
        <f>Input!P10</f>
        <v>0</v>
      </c>
      <c r="AB115" s="101">
        <f>3.281*(1.3+EXP(4.893-7.9038*(Z115*2.54)^-0.4113))</f>
        <v>37.486885304582074</v>
      </c>
      <c r="AC115" s="101">
        <v>0</v>
      </c>
      <c r="AD115" s="101">
        <f t="shared" si="72"/>
        <v>0</v>
      </c>
      <c r="AE115" s="80">
        <f>AA115*((EXP(-4.023+2.0327*LN(Z115*2.54))/((100-50)/100)/1000)+(EXP(-7.637+3.3648*LN(Z115*2.54))/((100-50)/100)/1000)+(EXP(-5.295+2.6184*LN(Z115*2.54))/((100-50)/100)/1000)+(EXP(-3.984+2.6667*LN(Z115*2.54))/((100-50)/100)/1000))</f>
        <v>0</v>
      </c>
      <c r="AF115" s="552">
        <v>6</v>
      </c>
      <c r="AG115" s="553">
        <f>Input!R10</f>
        <v>0</v>
      </c>
      <c r="AH115" s="567">
        <f>3.281*(1.37+50.2*(1-EXP(-0.0118*(AF115*2.54)^1.1535)))</f>
        <v>43.867525281554876</v>
      </c>
      <c r="AI115" s="567"/>
      <c r="AJ115" s="567"/>
      <c r="AK115" s="555">
        <f t="shared" si="73"/>
        <v>0</v>
      </c>
    </row>
    <row r="116" spans="2:49" x14ac:dyDescent="0.2">
      <c r="B116" s="152">
        <v>7</v>
      </c>
      <c r="C116" s="73">
        <f>Input!H11</f>
        <v>0</v>
      </c>
      <c r="D116" s="153">
        <f>IF(Input!C9="Sawlogs only","",IF(C116=0,0,3.281*(1.3+EXP(4.5503-11.4582*(B116*2.54)^-0.5994))))</f>
        <v>0</v>
      </c>
      <c r="E116" s="153">
        <f>IF(Input!C9="Sawlogs only","",E72*(0.993-0.993*0.62^(B116-6)))</f>
        <v>0</v>
      </c>
      <c r="F116" s="153">
        <f>IF(Input!C9="Sawlogs only","",E116*C116)</f>
        <v>0</v>
      </c>
      <c r="G116" s="416">
        <f>C116*((EXP(-4.2612+2.0967*LN(B116*2.54))/((100-50)/100)/1000)+(EXP(-5.3855+2.7185*LN(B116*2.54))/((100-50)/100)/1000)+(EXP(-2.5766+1.444*LN(B116*2.54))/((100-50)/100)/1000)+(EXP(-4.2063+2.2312*LN(B116*2.54))/((100-50)/100)/1000)+IF(Input!$C$9="Pulp-wood + sawlogs",((E29-E116)/35.315*0.76*1.1023),(EXP(-4.4907+2.7587*LN(B116*2.54))/((100-50)/100)/1000)))</f>
        <v>0</v>
      </c>
      <c r="H116" s="428">
        <v>7</v>
      </c>
      <c r="I116" s="140">
        <f>Input!J11</f>
        <v>0</v>
      </c>
      <c r="J116" s="147">
        <f>IF(Input!C9="Sawlogs only","",IF(I116=0,0,3.281*(1.3+EXP(5.7567-6.7792*(H116*2.54)^-0.2795))))</f>
        <v>0</v>
      </c>
      <c r="K116" s="147">
        <f>IF(Input!C9="Sawlogs only","",K72*(0.993-0.993*0.62^(H116-6)))</f>
        <v>0</v>
      </c>
      <c r="L116" s="147">
        <f>IF(Input!C9="Sawlogs only","",K116*I116)</f>
        <v>0</v>
      </c>
      <c r="M116" s="418">
        <f>I116*((EXP(-2.8462+1.7009*LN(H116*2.54))/((100-50)/100)/1000)+(EXP(-3.6941+2.1382*LN(H116*2.54))/((100-50)/100)/1000)+(EXP(-3.529+1.7503*LN(H116*2.54))/((100-50)/100)/1000)+(EXP(-4.3103+2.43*LN(H116*2.54))/((100-50)/100)/1000)+IF(Input!$C$9="Pulp-wood + sawlogs",((K29-K116)/35.315*0.9*1.1023),(EXP(-3.0396+2.5951*LN(H116*2.54))/((100-50)/100)/1000)))</f>
        <v>0</v>
      </c>
      <c r="N116" s="419">
        <v>7</v>
      </c>
      <c r="O116" s="75">
        <f>Input!L11</f>
        <v>0</v>
      </c>
      <c r="P116" s="420">
        <f>IF(Input!C9="Sawlogs only","",IF(O116=0,0,3.281*(1.3+EXP(14.7373-15.4469*(N116*2.54)^-0.0728))))</f>
        <v>0</v>
      </c>
      <c r="Q116" s="420">
        <f>IF(Input!C9="Sawlogs only","",Q72*(0.993-0.993*0.62^(N116-6)))</f>
        <v>0</v>
      </c>
      <c r="R116" s="420">
        <f>IF(Input!C9="Sawlogs only","",Q116*O116)</f>
        <v>0</v>
      </c>
      <c r="S116" s="421">
        <f>O116*((EXP(-2.617+1.7824*LN(N116*2.54))/((100-50)/100)/1000)+(EXP(-3.2661+2.0877*LN(N116*2.54))/((100-50)/100)/1000)+(EXP(-4.1934+2.1101*LN(N116*2.54))/((100-50)/100)/1000)+IF(Input!$C$9="Pulp-wood + sawlogs",((Q29-Q116)/35.315*0.7*1.1023),(EXP(-2.0927+2.1863*LN(N116*2.54))/((100-50)/100)/1000)))</f>
        <v>0</v>
      </c>
      <c r="T116" s="422">
        <v>7</v>
      </c>
      <c r="U116" s="78">
        <f>Input!N11</f>
        <v>0</v>
      </c>
      <c r="V116" s="423">
        <f>IF(Input!C9="Sawlogs only","",IF(U116=0,0,3.281*(1.3+EXP(5.3528-7.3394*(T116*2.54)^-0.3505))))</f>
        <v>0</v>
      </c>
      <c r="W116" s="429">
        <f>IF(Input!C9="Sawlogs only","",W72*(0.993-0.993*0.62^(T116-6)))</f>
        <v>0</v>
      </c>
      <c r="X116" s="423">
        <f>IF(Input!C9="Sawlogs only","",W116*U116)</f>
        <v>0</v>
      </c>
      <c r="Y116" s="424">
        <f>U116*((EXP(-3.4662+1.9278*LN(T116*2.54))/((100-50)/100)/1000)+(EXP(-4.8287+2.5585*LN(T116*2.54))/((100-50)/100)/1000)+(EXP(-6.1918+2.8796*LN(T116*2.54))/((100-50)/100)/1000)+IF(Input!$C$9="Pulp-wood + sawlogs",((W29-W116)/35.315*0.74*1.1023),(EXP(-3.7389+2.6825*LN(T116*2.54))/((100-50)/100)/1000)))</f>
        <v>0</v>
      </c>
      <c r="Z116" s="425">
        <v>7</v>
      </c>
      <c r="AA116" s="80">
        <f>Input!P11</f>
        <v>0</v>
      </c>
      <c r="AB116" s="426">
        <f>IF(Input!C9="Sawlogs only","",IF(AA116=0,0,3.281*(1.3+EXP(4.893-7.9038*(Z116*2.54)^-0.4113))))</f>
        <v>0</v>
      </c>
      <c r="AC116" s="426">
        <f>IF(Input!C9="Sawlogs only","",AC72*(0.993-0.993*0.62^(Z116-6)))</f>
        <v>0</v>
      </c>
      <c r="AD116" s="426">
        <f>IF(Input!C9="Sawlogs only","",AC116*AA116)</f>
        <v>0</v>
      </c>
      <c r="AE116" s="426">
        <f>AA116*((EXP(-4.023+2.0327*LN(Z116*2.54))/((100-50)/100)/1000)+(EXP(-7.637+3.3648*LN(Z116*2.54))/((100-50)/100)/1000)+(EXP(-5.295+2.6184*LN(Z116*2.54))/((100-50)/100)/1000)+IF(Input!$C$9="Pulp-wood + sawlogs",((AC29-AC116)/35.315*0.68*1.1023),(EXP(-3.984+2.6667*LN(Z116*2.54))/((100-50)/100)/1000)))</f>
        <v>0</v>
      </c>
      <c r="AF116" s="557">
        <v>7</v>
      </c>
      <c r="AG116" s="558">
        <f>Input!R11</f>
        <v>0</v>
      </c>
      <c r="AH116" s="558">
        <f>IF(Input!C9="Sawlogs only","",IF(AG116=0,0,3.281*(1.37+50.2*(1-EXP(-0.0118*(AF116*2.54)^1.1535)))))</f>
        <v>0</v>
      </c>
      <c r="AI116" s="558">
        <f>IF(Input!C9="Sawlogs only","",AI72*(0.993-0.993*0.62^(AF116-6)))</f>
        <v>0</v>
      </c>
      <c r="AJ116" s="558">
        <f>IF(Input!C9="Sawlogs only","",AI116*AG116)</f>
        <v>0</v>
      </c>
      <c r="AK116" s="554">
        <f>((0.03088*(AF116*2.54)^1.10021*((3.281*(1.37+50.2*(1-EXP(-0.0118*(AF116*2.54)^1.1535))))/3.281)^1.09925)+(0.01613*(AF116*2.54)^1.90578*((3.281*(1.37+50.2*(1-EXP(-0.0118*(AF116*2.54)^1.1535))))/3.281)^0.70112)+(0.03886*(AF116*2.54)^1.53515*((3.281*(1.37+50.2*(1-EXP(-0.0118*(AF116*2.54)^1.1535))))/3.281)^0.31776))/907.2*AG116+IF(Input!C9="Sawlogs only",0,(AJ29-AJ116)*0.00002247843)</f>
        <v>0</v>
      </c>
      <c r="AL116" s="157">
        <f>IF(C116=0,,IF(B116&lt;$AL$108,,ROUNDUP(((D116-94)+1)/16,0)))</f>
        <v>0</v>
      </c>
      <c r="AM116" s="31" t="str">
        <f>IF(C116=0,"",ROUNDDOWN((D116-$D$115)/16-AL116,0))</f>
        <v/>
      </c>
      <c r="AN116" s="157">
        <f>IF(I116=0,,IF(H116&lt;$AL$108,,ROUNDUP(((J116-98)+1)/16,0)))</f>
        <v>0</v>
      </c>
      <c r="AO116" s="31" t="str">
        <f>IF(I116=0,"",ROUNDDOWN((J116-$J$115)/16-AN116,0))</f>
        <v/>
      </c>
      <c r="AP116" s="157">
        <f>IF(O116=0,,IF(N116&lt;$AL$108,,ROUNDUP(((P116-66)+1)/16,0)))</f>
        <v>0</v>
      </c>
      <c r="AQ116" s="31" t="str">
        <f>IF(O116=0,"",ROUNDDOWN((P116-$P$115)/16-AP116,0))</f>
        <v/>
      </c>
      <c r="AR116" s="157">
        <f>IF(U116=0,,IF(T116&lt;$AL$108,,ROUNDUP(((V116-98)+1)/16,0)))</f>
        <v>0</v>
      </c>
      <c r="AS116" s="31" t="str">
        <f>IF(U116=0,"",ROUNDDOWN((V116-$V$115)/16-AR116,0))</f>
        <v/>
      </c>
      <c r="AT116" s="157">
        <f>IF(AA116=0,,IF(Z116&lt;$AL$108,,ROUNDUP(((AB116-82)+1)/16,0)))</f>
        <v>0</v>
      </c>
      <c r="AU116" s="31" t="str">
        <f>IF(AA116=0,"",ROUNDDOWN((AB116-$AB$115)/16-AT116,0))</f>
        <v/>
      </c>
      <c r="AW116" s="31"/>
    </row>
    <row r="117" spans="2:49" x14ac:dyDescent="0.2">
      <c r="B117" s="18">
        <v>8</v>
      </c>
      <c r="C117" s="81">
        <f>Input!H12</f>
        <v>0</v>
      </c>
      <c r="D117" s="81">
        <f>IF(Input!C9="Sawlogs only","",IF(C117=0,0,3.281*(1.3+EXP(4.5503-11.4582*(B117*2.54)^-0.5994))))</f>
        <v>0</v>
      </c>
      <c r="E117" s="81">
        <f>IF(Input!C9="Sawlogs only","",E73*(0.993-0.993*0.62^(B117-6)))</f>
        <v>0</v>
      </c>
      <c r="F117" s="81">
        <f>IF(Input!C9="Sawlogs only","",E117*C117)</f>
        <v>0</v>
      </c>
      <c r="G117" s="159">
        <f>C117*((EXP(-4.2612+2.0967*LN(B117*2.54))/((100-50)/100)/1000)+(EXP(-5.3855+2.7185*LN(B117*2.54))/((100-50)/100)/1000)+(EXP(-2.5766+1.444*LN(B117*2.54))/((100-50)/100)/1000)+(EXP(-4.2063+2.2312*LN(B117*2.54))/((100-50)/100)/1000)+IF(Input!$C$9="Pulp-wood + sawlogs",((E30-E117)/35.315*0.76*1.1023),(EXP(-4.4907+2.7587*LN(B117*2.54))/((100-50)/100)/1000)))</f>
        <v>0</v>
      </c>
      <c r="H117" s="141">
        <v>8</v>
      </c>
      <c r="I117" s="142">
        <f>Input!J12</f>
        <v>0</v>
      </c>
      <c r="J117" s="142">
        <f>IF(Input!C9="Sawlogs only","",IF(I117=0,0,3.281*(1.3+EXP(5.7567-6.7792*(H117*2.54)^-0.2795))))</f>
        <v>0</v>
      </c>
      <c r="K117" s="142">
        <f>IF(Input!C9="Sawlogs only","",K73*(0.993-0.993*0.62^(H117-6)))</f>
        <v>0</v>
      </c>
      <c r="L117" s="142">
        <f>IF(Input!C9="Sawlogs only","",K117*I117)</f>
        <v>0</v>
      </c>
      <c r="M117" s="417">
        <f>I117*((EXP(-2.8462+1.7009*LN(H117*2.54))/((100-50)/100)/1000)+(EXP(-3.6941+2.1382*LN(H117*2.54))/((100-50)/100)/1000)+(EXP(-3.529+1.7503*LN(H117*2.54))/((100-50)/100)/1000)+(EXP(-4.3103+2.43*LN(H117*2.54))/((100-50)/100)/1000)+IF(Input!$C$9="Pulp-wood + sawlogs",((K30-K117)/35.315*0.9*1.1023),(EXP(-3.0396+2.5951*LN(H117*2.54))/((100-50)/100)/1000)))</f>
        <v>0</v>
      </c>
      <c r="N117" s="82">
        <v>8</v>
      </c>
      <c r="O117" s="83">
        <f>Input!L12</f>
        <v>0</v>
      </c>
      <c r="P117" s="83">
        <f>IF(Input!C9="Sawlogs only","",IF(O117=0,0,3.281*(1.3+EXP(14.7373-15.4469*(N117*2.54)^-0.0728))))</f>
        <v>0</v>
      </c>
      <c r="Q117" s="83">
        <f>IF(Input!C9="Sawlogs only","",Q73*(0.993-0.993*0.62^(N117-6)))</f>
        <v>0</v>
      </c>
      <c r="R117" s="83">
        <f>IF(Input!C9="Sawlogs only","",Q117*O117)</f>
        <v>0</v>
      </c>
      <c r="S117" s="161">
        <f>O117*((EXP(-2.617+1.7824*LN(N117*2.54))/((100-50)/100)/1000)+(EXP(-3.2661+2.0877*LN(N117*2.54))/((100-50)/100)/1000)+(EXP(-4.1934+2.1101*LN(N117*2.54))/((100-50)/100)/1000)+IF(Input!$C$9="Pulp-wood + sawlogs",((Q30-Q117)/35.315*0.7*1.1023),(EXP(-2.0927+2.1863*LN(N117*2.54))/((100-50)/100)/1000)))</f>
        <v>0</v>
      </c>
      <c r="T117" s="84">
        <v>8</v>
      </c>
      <c r="U117" s="85">
        <f>Input!N12</f>
        <v>0</v>
      </c>
      <c r="V117" s="85">
        <f>IF(Input!C9="Sawlogs only","",IF(U117=0,0,3.281*(1.3+EXP(5.3528-7.3394*(T117*2.54)^-0.3505))))</f>
        <v>0</v>
      </c>
      <c r="W117" s="329">
        <f>IF(Input!C9="Sawlogs only","",W73*(0.993-0.993*0.62^(T117-6)))</f>
        <v>0</v>
      </c>
      <c r="X117" s="85">
        <f>IF(Input!C9="Sawlogs only","",W117*U117)</f>
        <v>0</v>
      </c>
      <c r="Y117" s="427">
        <f>U117*((EXP(-3.4662+1.9278*LN(T117*2.54))/((100-50)/100)/1000)+(EXP(-4.8287+2.5585*LN(T117*2.54))/((100-50)/100)/1000)+(EXP(-6.1918+2.8796*LN(T117*2.54))/((100-50)/100)/1000)+IF(Input!$C$9="Pulp-wood + sawlogs",((W30-W117)/35.315*0.74*1.1023),(EXP(-3.7389+2.6825*LN(T117*2.54))/((100-50)/100)/1000)))</f>
        <v>0</v>
      </c>
      <c r="Z117" s="86">
        <v>8</v>
      </c>
      <c r="AA117" s="87">
        <f>Input!P12</f>
        <v>0</v>
      </c>
      <c r="AB117" s="87">
        <f>IF(Input!C9="Sawlogs only","",IF(AA117=0,0,3.281*(1.3+EXP(4.893-7.9038*(Z117*2.54)^-0.4113))))</f>
        <v>0</v>
      </c>
      <c r="AC117" s="87">
        <f>IF(Input!C9="Sawlogs only","",AC73*(0.993-0.993*0.62^(Z117-6)))</f>
        <v>0</v>
      </c>
      <c r="AD117" s="87">
        <f>IF(Input!C9="Sawlogs only","",AC117*AA117)</f>
        <v>0</v>
      </c>
      <c r="AE117" s="87">
        <f>AA117*((EXP(-4.023+2.0327*LN(Z117*2.54))/((100-50)/100)/1000)+(EXP(-7.637+3.3648*LN(Z117*2.54))/((100-50)/100)/1000)+(EXP(-5.295+2.6184*LN(Z117*2.54))/((100-50)/100)/1000)+IF(Input!$C$9="Pulp-wood + sawlogs",((AC30-AC117)/35.315*0.68*1.1023),(EXP(-3.984+2.6667*LN(Z117*2.54))/((100-50)/100)/1000)))</f>
        <v>0</v>
      </c>
      <c r="AF117" s="559">
        <v>8</v>
      </c>
      <c r="AG117" s="556">
        <f>Input!R12</f>
        <v>0</v>
      </c>
      <c r="AH117" s="556">
        <f>IF(Input!C9="Sawlogs only","",IF(AG117=0,0,3.281*(1.37+50.2*(1-EXP(-0.0118*(AF117*2.54)^1.1535)))))</f>
        <v>0</v>
      </c>
      <c r="AI117" s="556">
        <f>IF(Input!C9="Sawlogs only","",AI73*(0.993-0.993*0.62^(AF117-6)))</f>
        <v>0</v>
      </c>
      <c r="AJ117" s="556">
        <f>IF(Input!C9="Sawlogs only","",AI117*AG117)</f>
        <v>0</v>
      </c>
      <c r="AK117" s="560">
        <f>((0.03088*(AF117*2.54)^1.10021*((3.281*(1.37+50.2*(1-EXP(-0.0118*(AF117*2.54)^1.1535))))/3.281)^1.09925)+(0.01613*(AF117*2.54)^1.90578*((3.281*(1.37+50.2*(1-EXP(-0.0118*(AF117*2.54)^1.1535))))/3.281)^0.70112)+(0.03886*(AF117*2.54)^1.53515*((3.281*(1.37+50.2*(1-EXP(-0.0118*(AF117*2.54)^1.1535))))/3.281)^0.31776))/907.2*AG117 +IF(Input!C9="Sawlogs only",0,(AJ30-AJ117)*0.00002247843)</f>
        <v>0</v>
      </c>
      <c r="AL117" s="157">
        <f t="shared" ref="AL117:AL145" si="74">IF(C117=0,,IF(B117&lt;$AL$108,,ROUNDUP(((D117-94)+1)/16,0)))</f>
        <v>0</v>
      </c>
      <c r="AM117" s="31" t="str">
        <f t="shared" ref="AM117:AM145" si="75">IF(C117=0,"",ROUNDDOWN((D117-$D$115)/16-AL117,0))</f>
        <v/>
      </c>
      <c r="AN117" s="157">
        <f t="shared" ref="AN117:AN145" si="76">IF(I117=0,,IF(H117&lt;$AL$108,,ROUNDUP(((J117-98)+1)/16,0)))</f>
        <v>0</v>
      </c>
      <c r="AO117" s="31" t="str">
        <f t="shared" ref="AO117:AO145" si="77">IF(I117=0,"",ROUNDDOWN((J117-$J$115)/16-AN117,0))</f>
        <v/>
      </c>
      <c r="AP117" s="157">
        <f t="shared" ref="AP117:AP145" si="78">IF(O117=0,,IF(N117&lt;$AL$108,,ROUNDUP(((P117-66)+1)/16,0)))</f>
        <v>0</v>
      </c>
      <c r="AQ117" s="31" t="str">
        <f t="shared" ref="AQ117:AQ145" si="79">IF(O117=0,"",ROUNDDOWN((P117-$P$115)/16-AP117,0))</f>
        <v/>
      </c>
      <c r="AR117" s="157">
        <f t="shared" ref="AR117:AR145" si="80">IF(U117=0,,IF(T117&lt;$AL$108,,ROUNDUP(((V117-98)+1)/16,0)))</f>
        <v>0</v>
      </c>
      <c r="AS117" s="31" t="str">
        <f t="shared" ref="AS117:AS145" si="81">IF(U117=0,"",ROUNDDOWN((V117-$V$115)/16-AR117,0))</f>
        <v/>
      </c>
      <c r="AT117" s="157">
        <f t="shared" ref="AT117:AT145" si="82">IF(AA117=0,,IF(Z117&lt;$AL$108,,ROUNDUP(((AB117-82)+1)/16,0)))</f>
        <v>0</v>
      </c>
      <c r="AU117" s="31" t="str">
        <f t="shared" ref="AU117:AU145" si="83">IF(AA117=0,"",ROUNDDOWN((AB117-$AB$115)/16-AT117,0))</f>
        <v/>
      </c>
    </row>
    <row r="118" spans="2:49" x14ac:dyDescent="0.2">
      <c r="B118" s="16">
        <v>9</v>
      </c>
      <c r="C118" s="73">
        <f>Input!H13</f>
        <v>0</v>
      </c>
      <c r="D118" s="73">
        <f t="shared" ref="D118:D144" si="84">IF(C118=0,0,3.281*(1.3+EXP(4.5503-11.4582*(B118*2.54)^-0.5994)))</f>
        <v>0</v>
      </c>
      <c r="E118" s="73">
        <f t="shared" ref="E118:E144" si="85">E74*(0.993-0.993*0.62^(B118-6))</f>
        <v>0</v>
      </c>
      <c r="F118" s="73">
        <f t="shared" si="68"/>
        <v>0</v>
      </c>
      <c r="G118" s="155">
        <f t="shared" ref="G118:G144" si="86">C118*((EXP(-4.2612+2.0967*LN(B118*2.54))/((100-50)/100)/1000)+(EXP(-5.3855+2.7185*LN(B118*2.54))/((100-50)/100)/1000)+(EXP(-2.5766+1.444*LN(B118*2.54))/((100-50)/100)/1000)+(EXP(-4.2063+2.2312*LN(B118*2.54))/((100-50)/100)/1000)+((E31-E118)/35.315*0.76*1.1023))</f>
        <v>0</v>
      </c>
      <c r="H118" s="139">
        <v>9</v>
      </c>
      <c r="I118" s="140">
        <f>Input!J13</f>
        <v>0</v>
      </c>
      <c r="J118" s="140">
        <f t="shared" ref="J118:J144" si="87">IF(I118=0,0,3.281*(1.3+EXP(5.7567-6.7792*(H118*2.54)^-0.2795)))</f>
        <v>0</v>
      </c>
      <c r="K118" s="140">
        <f t="shared" ref="K118:K144" si="88">K74*(0.993-0.993*0.62^(H118-6))</f>
        <v>0</v>
      </c>
      <c r="L118" s="140">
        <f t="shared" si="69"/>
        <v>0</v>
      </c>
      <c r="M118" s="158">
        <f t="shared" ref="M118:M144" si="89">I118*((EXP(-2.8462+1.7009*LN(H118*2.54))/((100-50)/100)/1000)+(EXP(-3.6941+2.1382*LN(H118*2.54))/((100-50)/100)/1000)+(EXP(-3.529+1.7503*LN(H118*2.54))/((100-50)/100)/1000)+(EXP(-4.3103+2.43*LN(H118*2.54))/((100-50)/100)/1000)+((K31-K118)/35.315*0.9*1.1023))</f>
        <v>0</v>
      </c>
      <c r="N118" s="74">
        <v>9</v>
      </c>
      <c r="O118" s="75">
        <f>Input!L13</f>
        <v>0</v>
      </c>
      <c r="P118" s="75">
        <f t="shared" ref="P118:P144" si="90">IF(O118=0,0,3.281*(1.3+EXP(14.7373-15.4469*(N118*2.54)^-0.0728)))</f>
        <v>0</v>
      </c>
      <c r="Q118" s="75">
        <f t="shared" ref="Q118:Q144" si="91">Q74*(0.993-0.993*0.62^(N118-6))</f>
        <v>0</v>
      </c>
      <c r="R118" s="75">
        <f t="shared" si="70"/>
        <v>0</v>
      </c>
      <c r="S118" s="160">
        <f t="shared" ref="S118:S144" si="92">O118*((EXP(-2.617+1.7824*LN(N118*2.54))/((100-50)/100)/1000)+(EXP(-3.2661+2.0877*LN(N118*2.54))/((100-50)/100)/1000)+(EXP(-4.1934+2.1101*LN(N118*2.54))/((100-50)/100)/1000)+((Q31-Q118)/35.315*0.7*1.1023))</f>
        <v>0</v>
      </c>
      <c r="T118" s="77">
        <v>9</v>
      </c>
      <c r="U118" s="78">
        <f>Input!N13</f>
        <v>0</v>
      </c>
      <c r="V118" s="78">
        <f t="shared" ref="V118:V144" si="93">IF(U118=0,0,3.281*(1.3+EXP(5.3528-7.3394*(T118*2.54)^-0.3505)))</f>
        <v>0</v>
      </c>
      <c r="W118" s="151">
        <f t="shared" ref="W118:W144" si="94">W74*(0.993-0.993*0.62^(T118-6))</f>
        <v>0</v>
      </c>
      <c r="X118" s="78">
        <f t="shared" si="71"/>
        <v>0</v>
      </c>
      <c r="Y118" s="162">
        <f t="shared" ref="Y118:Y144" si="95">U118*((EXP(-3.4662+1.9278*LN(T118*2.54))/((100-50)/100)/1000)+(EXP(-4.8287+2.5585*LN(T118*2.54))/((100-50)/100)/1000)+(EXP(-6.1918+2.8796*LN(T118*2.54))/((100-50)/100)/1000)+((W31-W118)/35.315*0.74*1.1023))</f>
        <v>0</v>
      </c>
      <c r="Z118" s="79">
        <v>9</v>
      </c>
      <c r="AA118" s="80">
        <f>Input!P13</f>
        <v>0</v>
      </c>
      <c r="AB118" s="80">
        <f t="shared" ref="AB118:AB144" si="96">IF(AA118=0,0,3.281*(1.3+EXP(4.893-7.9038*(Z118*2.54)^-0.4113)))</f>
        <v>0</v>
      </c>
      <c r="AC118" s="80">
        <f t="shared" ref="AC118:AC144" si="97">AC74*(0.993-0.993*0.62^(Z118-6))</f>
        <v>0</v>
      </c>
      <c r="AD118" s="80">
        <f t="shared" si="72"/>
        <v>0</v>
      </c>
      <c r="AE118" s="80">
        <f t="shared" ref="AE118:AE144" si="98">AA118*((EXP(-4.023+2.0327*LN(Z118*2.54))/((100-50)/100)/1000)+(EXP(-7.637+3.3648*LN(Z118*2.54))/((100-50)/100)/1000)+(EXP(-5.295+2.6184*LN(Z118*2.54))/((100-50)/100)/1000)+((AC31-AC118)/35.315*0.68*1.1023))</f>
        <v>0</v>
      </c>
      <c r="AF118" s="552">
        <v>9</v>
      </c>
      <c r="AG118" s="553">
        <f>Input!R13</f>
        <v>0</v>
      </c>
      <c r="AH118" s="553">
        <f>IF(AG118=0,0,3.281*(1.37+50.2*(1-EXP(-0.0118*(AF118*2.54)^1.1535))))</f>
        <v>0</v>
      </c>
      <c r="AI118" s="553">
        <f t="shared" ref="AI118:AI144" si="99">AI74*(0.993-0.993*0.62^(AF118-6))</f>
        <v>0</v>
      </c>
      <c r="AJ118" s="553">
        <f t="shared" ref="AJ118:AJ144" si="100">AI118*AG118</f>
        <v>0</v>
      </c>
      <c r="AK118" s="555">
        <f t="shared" ref="AK118:AK144" si="101">((0.03088*(AF118*2.54)^1.10021*(AH118/3.281)^1.09925)+(0.01613*(AF118*2.54)^1.90578*(AH118/3.281)^0.70112)+(0.03886*(AF118*2.54)^1.53515*(AH118/3.281)^0.31776))/907.2*AG118+(AJ31-AJ118)*0.00002247843</f>
        <v>0</v>
      </c>
      <c r="AL118" s="157">
        <f t="shared" si="74"/>
        <v>0</v>
      </c>
      <c r="AM118" s="31" t="str">
        <f t="shared" si="75"/>
        <v/>
      </c>
      <c r="AN118" s="157">
        <f t="shared" si="76"/>
        <v>0</v>
      </c>
      <c r="AO118" s="31" t="str">
        <f t="shared" si="77"/>
        <v/>
      </c>
      <c r="AP118" s="157">
        <f t="shared" si="78"/>
        <v>0</v>
      </c>
      <c r="AQ118" s="31" t="str">
        <f t="shared" si="79"/>
        <v/>
      </c>
      <c r="AR118" s="157">
        <f t="shared" si="80"/>
        <v>0</v>
      </c>
      <c r="AS118" s="31" t="str">
        <f t="shared" si="81"/>
        <v/>
      </c>
      <c r="AT118" s="157">
        <f t="shared" si="82"/>
        <v>0</v>
      </c>
      <c r="AU118" s="31" t="str">
        <f t="shared" si="83"/>
        <v/>
      </c>
    </row>
    <row r="119" spans="2:49" x14ac:dyDescent="0.2">
      <c r="B119" s="16">
        <v>10</v>
      </c>
      <c r="C119" s="73">
        <f>Input!H14</f>
        <v>26.7</v>
      </c>
      <c r="D119" s="73">
        <f t="shared" si="84"/>
        <v>64.008876534109675</v>
      </c>
      <c r="E119" s="73">
        <f t="shared" si="85"/>
        <v>10.818415956434922</v>
      </c>
      <c r="F119" s="73">
        <f t="shared" si="68"/>
        <v>288.8517060368124</v>
      </c>
      <c r="G119" s="155">
        <f t="shared" si="86"/>
        <v>-3.056428849898162</v>
      </c>
      <c r="H119" s="139">
        <v>10</v>
      </c>
      <c r="I119" s="140">
        <f>Input!J14</f>
        <v>0</v>
      </c>
      <c r="J119" s="140">
        <f t="shared" si="87"/>
        <v>0</v>
      </c>
      <c r="K119" s="140">
        <f t="shared" si="88"/>
        <v>0</v>
      </c>
      <c r="L119" s="140">
        <f t="shared" si="69"/>
        <v>0</v>
      </c>
      <c r="M119" s="158">
        <f t="shared" si="89"/>
        <v>0</v>
      </c>
      <c r="N119" s="74">
        <v>10</v>
      </c>
      <c r="O119" s="75">
        <f>Input!L14</f>
        <v>0</v>
      </c>
      <c r="P119" s="75">
        <f t="shared" si="90"/>
        <v>0</v>
      </c>
      <c r="Q119" s="75">
        <f t="shared" si="91"/>
        <v>0</v>
      </c>
      <c r="R119" s="75">
        <f t="shared" si="70"/>
        <v>0</v>
      </c>
      <c r="S119" s="160">
        <f t="shared" si="92"/>
        <v>0</v>
      </c>
      <c r="T119" s="77">
        <v>10</v>
      </c>
      <c r="U119" s="78">
        <f>Input!N14</f>
        <v>0</v>
      </c>
      <c r="V119" s="78">
        <f t="shared" si="93"/>
        <v>0</v>
      </c>
      <c r="W119" s="151">
        <f t="shared" si="94"/>
        <v>0</v>
      </c>
      <c r="X119" s="78">
        <f t="shared" si="71"/>
        <v>0</v>
      </c>
      <c r="Y119" s="162">
        <f t="shared" si="95"/>
        <v>0</v>
      </c>
      <c r="Z119" s="79">
        <v>10</v>
      </c>
      <c r="AA119" s="80">
        <f>Input!P14</f>
        <v>0</v>
      </c>
      <c r="AB119" s="80">
        <f t="shared" si="96"/>
        <v>0</v>
      </c>
      <c r="AC119" s="80">
        <f t="shared" si="97"/>
        <v>0</v>
      </c>
      <c r="AD119" s="80">
        <f t="shared" si="72"/>
        <v>0</v>
      </c>
      <c r="AE119" s="80">
        <f t="shared" si="98"/>
        <v>0</v>
      </c>
      <c r="AF119" s="552">
        <v>10</v>
      </c>
      <c r="AG119" s="553">
        <f>Input!R14</f>
        <v>0</v>
      </c>
      <c r="AH119" s="553">
        <f t="shared" ref="AH119:AH144" si="102">IF(AG119=0,0,3.281*(1.37+50.2*(1-EXP(-0.0118*(AF119*2.54)^1.1535))))</f>
        <v>0</v>
      </c>
      <c r="AI119" s="553">
        <f t="shared" si="99"/>
        <v>0</v>
      </c>
      <c r="AJ119" s="553">
        <f t="shared" si="100"/>
        <v>0</v>
      </c>
      <c r="AK119" s="555">
        <f t="shared" si="101"/>
        <v>0</v>
      </c>
      <c r="AL119" s="157">
        <f t="shared" si="74"/>
        <v>0</v>
      </c>
      <c r="AM119" s="31">
        <f t="shared" si="75"/>
        <v>1</v>
      </c>
      <c r="AN119" s="157">
        <f t="shared" si="76"/>
        <v>0</v>
      </c>
      <c r="AO119" s="31" t="str">
        <f t="shared" si="77"/>
        <v/>
      </c>
      <c r="AP119" s="157">
        <f t="shared" si="78"/>
        <v>0</v>
      </c>
      <c r="AQ119" s="31" t="str">
        <f t="shared" si="79"/>
        <v/>
      </c>
      <c r="AR119" s="157">
        <f t="shared" si="80"/>
        <v>0</v>
      </c>
      <c r="AS119" s="31" t="str">
        <f t="shared" si="81"/>
        <v/>
      </c>
      <c r="AT119" s="157">
        <f t="shared" si="82"/>
        <v>0</v>
      </c>
      <c r="AU119" s="31" t="str">
        <f t="shared" si="83"/>
        <v/>
      </c>
    </row>
    <row r="120" spans="2:49" x14ac:dyDescent="0.2">
      <c r="B120" s="16">
        <v>11</v>
      </c>
      <c r="C120" s="73">
        <f>Input!H15</f>
        <v>0</v>
      </c>
      <c r="D120" s="73">
        <f t="shared" si="84"/>
        <v>0</v>
      </c>
      <c r="E120" s="73">
        <f t="shared" si="85"/>
        <v>0</v>
      </c>
      <c r="F120" s="73">
        <f t="shared" si="68"/>
        <v>0</v>
      </c>
      <c r="G120" s="155">
        <f t="shared" si="86"/>
        <v>0</v>
      </c>
      <c r="H120" s="139">
        <v>11</v>
      </c>
      <c r="I120" s="140">
        <f>Input!J15</f>
        <v>0</v>
      </c>
      <c r="J120" s="140">
        <f t="shared" si="87"/>
        <v>0</v>
      </c>
      <c r="K120" s="140">
        <f t="shared" si="88"/>
        <v>0</v>
      </c>
      <c r="L120" s="140">
        <f t="shared" si="69"/>
        <v>0</v>
      </c>
      <c r="M120" s="158">
        <f t="shared" si="89"/>
        <v>0</v>
      </c>
      <c r="N120" s="74">
        <v>11</v>
      </c>
      <c r="O120" s="75">
        <f>Input!L15</f>
        <v>0</v>
      </c>
      <c r="P120" s="75">
        <f t="shared" si="90"/>
        <v>0</v>
      </c>
      <c r="Q120" s="75">
        <f t="shared" si="91"/>
        <v>0</v>
      </c>
      <c r="R120" s="75">
        <f t="shared" si="70"/>
        <v>0</v>
      </c>
      <c r="S120" s="160">
        <f t="shared" si="92"/>
        <v>0</v>
      </c>
      <c r="T120" s="77">
        <v>11</v>
      </c>
      <c r="U120" s="78">
        <f>Input!N15</f>
        <v>0</v>
      </c>
      <c r="V120" s="78">
        <f t="shared" si="93"/>
        <v>0</v>
      </c>
      <c r="W120" s="151">
        <f t="shared" si="94"/>
        <v>0</v>
      </c>
      <c r="X120" s="78">
        <f t="shared" si="71"/>
        <v>0</v>
      </c>
      <c r="Y120" s="162">
        <f t="shared" si="95"/>
        <v>0</v>
      </c>
      <c r="Z120" s="79">
        <v>11</v>
      </c>
      <c r="AA120" s="80">
        <f>Input!P15</f>
        <v>0</v>
      </c>
      <c r="AB120" s="80">
        <f t="shared" si="96"/>
        <v>0</v>
      </c>
      <c r="AC120" s="80">
        <f t="shared" si="97"/>
        <v>0</v>
      </c>
      <c r="AD120" s="80">
        <f t="shared" si="72"/>
        <v>0</v>
      </c>
      <c r="AE120" s="80">
        <f t="shared" si="98"/>
        <v>0</v>
      </c>
      <c r="AF120" s="552">
        <v>11</v>
      </c>
      <c r="AG120" s="553">
        <f>Input!R15</f>
        <v>0</v>
      </c>
      <c r="AH120" s="553">
        <f t="shared" si="102"/>
        <v>0</v>
      </c>
      <c r="AI120" s="553">
        <f t="shared" si="99"/>
        <v>0</v>
      </c>
      <c r="AJ120" s="553">
        <f t="shared" si="100"/>
        <v>0</v>
      </c>
      <c r="AK120" s="555">
        <f t="shared" si="101"/>
        <v>0</v>
      </c>
      <c r="AL120" s="157">
        <f t="shared" si="74"/>
        <v>0</v>
      </c>
      <c r="AM120" s="31" t="str">
        <f t="shared" si="75"/>
        <v/>
      </c>
      <c r="AN120" s="157">
        <f t="shared" si="76"/>
        <v>0</v>
      </c>
      <c r="AO120" s="31" t="str">
        <f t="shared" si="77"/>
        <v/>
      </c>
      <c r="AP120" s="157">
        <f t="shared" si="78"/>
        <v>0</v>
      </c>
      <c r="AQ120" s="31" t="str">
        <f t="shared" si="79"/>
        <v/>
      </c>
      <c r="AR120" s="157">
        <f t="shared" si="80"/>
        <v>0</v>
      </c>
      <c r="AS120" s="31" t="str">
        <f t="shared" si="81"/>
        <v/>
      </c>
      <c r="AT120" s="157">
        <f t="shared" si="82"/>
        <v>0</v>
      </c>
      <c r="AU120" s="31" t="str">
        <f t="shared" si="83"/>
        <v/>
      </c>
    </row>
    <row r="121" spans="2:49" x14ac:dyDescent="0.2">
      <c r="B121" s="16">
        <v>12</v>
      </c>
      <c r="C121" s="73">
        <f>Input!H16</f>
        <v>1</v>
      </c>
      <c r="D121" s="73">
        <f t="shared" si="84"/>
        <v>75.125500715380156</v>
      </c>
      <c r="E121" s="73">
        <f t="shared" si="85"/>
        <v>20.666375709273527</v>
      </c>
      <c r="F121" s="73">
        <f t="shared" si="68"/>
        <v>20.666375709273527</v>
      </c>
      <c r="G121" s="155">
        <f t="shared" si="86"/>
        <v>0.28012463790265291</v>
      </c>
      <c r="H121" s="139">
        <v>12</v>
      </c>
      <c r="I121" s="140">
        <f>Input!J16</f>
        <v>0</v>
      </c>
      <c r="J121" s="140">
        <f t="shared" si="87"/>
        <v>0</v>
      </c>
      <c r="K121" s="140">
        <f t="shared" si="88"/>
        <v>0</v>
      </c>
      <c r="L121" s="140">
        <f t="shared" si="69"/>
        <v>0</v>
      </c>
      <c r="M121" s="158">
        <f t="shared" si="89"/>
        <v>0</v>
      </c>
      <c r="N121" s="74">
        <v>12</v>
      </c>
      <c r="O121" s="75">
        <f>Input!L16</f>
        <v>0</v>
      </c>
      <c r="P121" s="75">
        <f t="shared" si="90"/>
        <v>0</v>
      </c>
      <c r="Q121" s="75">
        <f t="shared" si="91"/>
        <v>0</v>
      </c>
      <c r="R121" s="75">
        <f t="shared" si="70"/>
        <v>0</v>
      </c>
      <c r="S121" s="160">
        <f t="shared" si="92"/>
        <v>0</v>
      </c>
      <c r="T121" s="77">
        <v>12</v>
      </c>
      <c r="U121" s="78">
        <f>Input!N16</f>
        <v>0</v>
      </c>
      <c r="V121" s="78">
        <f t="shared" si="93"/>
        <v>0</v>
      </c>
      <c r="W121" s="151">
        <f t="shared" si="94"/>
        <v>0</v>
      </c>
      <c r="X121" s="78">
        <f t="shared" si="71"/>
        <v>0</v>
      </c>
      <c r="Y121" s="162">
        <f t="shared" si="95"/>
        <v>0</v>
      </c>
      <c r="Z121" s="79">
        <v>12</v>
      </c>
      <c r="AA121" s="80">
        <f>Input!P16</f>
        <v>0</v>
      </c>
      <c r="AB121" s="80">
        <f t="shared" si="96"/>
        <v>0</v>
      </c>
      <c r="AC121" s="80">
        <f t="shared" si="97"/>
        <v>0</v>
      </c>
      <c r="AD121" s="80">
        <f t="shared" si="72"/>
        <v>0</v>
      </c>
      <c r="AE121" s="80">
        <f t="shared" si="98"/>
        <v>0</v>
      </c>
      <c r="AF121" s="552">
        <v>12</v>
      </c>
      <c r="AG121" s="553">
        <f>Input!R16</f>
        <v>0</v>
      </c>
      <c r="AH121" s="553">
        <f t="shared" si="102"/>
        <v>0</v>
      </c>
      <c r="AI121" s="553">
        <f t="shared" si="99"/>
        <v>0</v>
      </c>
      <c r="AJ121" s="553">
        <f t="shared" si="100"/>
        <v>0</v>
      </c>
      <c r="AK121" s="555">
        <f t="shared" si="101"/>
        <v>0</v>
      </c>
      <c r="AL121" s="157">
        <f t="shared" si="74"/>
        <v>0</v>
      </c>
      <c r="AM121" s="31">
        <f t="shared" si="75"/>
        <v>2</v>
      </c>
      <c r="AN121" s="157">
        <f t="shared" si="76"/>
        <v>0</v>
      </c>
      <c r="AO121" s="31" t="str">
        <f t="shared" si="77"/>
        <v/>
      </c>
      <c r="AP121" s="157">
        <f t="shared" si="78"/>
        <v>0</v>
      </c>
      <c r="AQ121" s="31" t="str">
        <f t="shared" si="79"/>
        <v/>
      </c>
      <c r="AR121" s="157">
        <f t="shared" si="80"/>
        <v>0</v>
      </c>
      <c r="AS121" s="31" t="str">
        <f t="shared" si="81"/>
        <v/>
      </c>
      <c r="AT121" s="157">
        <f t="shared" si="82"/>
        <v>0</v>
      </c>
      <c r="AU121" s="31" t="str">
        <f t="shared" si="83"/>
        <v/>
      </c>
    </row>
    <row r="122" spans="2:49" x14ac:dyDescent="0.2">
      <c r="B122" s="16">
        <v>13</v>
      </c>
      <c r="C122" s="73">
        <f>Input!H17</f>
        <v>0</v>
      </c>
      <c r="D122" s="73">
        <f t="shared" si="84"/>
        <v>0</v>
      </c>
      <c r="E122" s="73">
        <f t="shared" si="85"/>
        <v>0</v>
      </c>
      <c r="F122" s="73">
        <f t="shared" si="68"/>
        <v>0</v>
      </c>
      <c r="G122" s="155">
        <f t="shared" si="86"/>
        <v>0</v>
      </c>
      <c r="H122" s="139">
        <v>13</v>
      </c>
      <c r="I122" s="140">
        <f>Input!J17</f>
        <v>0</v>
      </c>
      <c r="J122" s="140">
        <f t="shared" si="87"/>
        <v>0</v>
      </c>
      <c r="K122" s="140">
        <f t="shared" si="88"/>
        <v>0</v>
      </c>
      <c r="L122" s="140">
        <f t="shared" si="69"/>
        <v>0</v>
      </c>
      <c r="M122" s="158">
        <f t="shared" si="89"/>
        <v>0</v>
      </c>
      <c r="N122" s="74">
        <v>13</v>
      </c>
      <c r="O122" s="75">
        <f>Input!L17</f>
        <v>0</v>
      </c>
      <c r="P122" s="75">
        <f t="shared" si="90"/>
        <v>0</v>
      </c>
      <c r="Q122" s="75">
        <f t="shared" si="91"/>
        <v>0</v>
      </c>
      <c r="R122" s="75">
        <f t="shared" si="70"/>
        <v>0</v>
      </c>
      <c r="S122" s="160">
        <f t="shared" si="92"/>
        <v>0</v>
      </c>
      <c r="T122" s="77">
        <v>13</v>
      </c>
      <c r="U122" s="78">
        <f>Input!N17</f>
        <v>0</v>
      </c>
      <c r="V122" s="78">
        <f t="shared" si="93"/>
        <v>0</v>
      </c>
      <c r="W122" s="151">
        <f t="shared" si="94"/>
        <v>0</v>
      </c>
      <c r="X122" s="78">
        <f t="shared" si="71"/>
        <v>0</v>
      </c>
      <c r="Y122" s="162">
        <f t="shared" si="95"/>
        <v>0</v>
      </c>
      <c r="Z122" s="79">
        <v>13</v>
      </c>
      <c r="AA122" s="80">
        <f>Input!P17</f>
        <v>0</v>
      </c>
      <c r="AB122" s="80">
        <f t="shared" si="96"/>
        <v>0</v>
      </c>
      <c r="AC122" s="80">
        <f t="shared" si="97"/>
        <v>0</v>
      </c>
      <c r="AD122" s="80">
        <f t="shared" si="72"/>
        <v>0</v>
      </c>
      <c r="AE122" s="80">
        <f t="shared" si="98"/>
        <v>0</v>
      </c>
      <c r="AF122" s="552">
        <v>13</v>
      </c>
      <c r="AG122" s="553">
        <f>Input!R17</f>
        <v>0</v>
      </c>
      <c r="AH122" s="553">
        <f t="shared" si="102"/>
        <v>0</v>
      </c>
      <c r="AI122" s="553">
        <f t="shared" si="99"/>
        <v>0</v>
      </c>
      <c r="AJ122" s="553">
        <f t="shared" si="100"/>
        <v>0</v>
      </c>
      <c r="AK122" s="555">
        <f t="shared" si="101"/>
        <v>0</v>
      </c>
      <c r="AL122" s="157">
        <f t="shared" si="74"/>
        <v>0</v>
      </c>
      <c r="AM122" s="31" t="str">
        <f t="shared" si="75"/>
        <v/>
      </c>
      <c r="AN122" s="157">
        <f t="shared" si="76"/>
        <v>0</v>
      </c>
      <c r="AO122" s="31" t="str">
        <f t="shared" si="77"/>
        <v/>
      </c>
      <c r="AP122" s="157">
        <f t="shared" si="78"/>
        <v>0</v>
      </c>
      <c r="AQ122" s="31" t="str">
        <f t="shared" si="79"/>
        <v/>
      </c>
      <c r="AR122" s="157">
        <f t="shared" si="80"/>
        <v>0</v>
      </c>
      <c r="AS122" s="31" t="str">
        <f t="shared" si="81"/>
        <v/>
      </c>
      <c r="AT122" s="157">
        <f t="shared" si="82"/>
        <v>0</v>
      </c>
      <c r="AU122" s="31" t="str">
        <f t="shared" si="83"/>
        <v/>
      </c>
    </row>
    <row r="123" spans="2:49" x14ac:dyDescent="0.2">
      <c r="B123" s="16">
        <v>14</v>
      </c>
      <c r="C123" s="73">
        <f>Input!H18</f>
        <v>9.6999999999999993</v>
      </c>
      <c r="D123" s="73">
        <f t="shared" si="84"/>
        <v>84.996961694719928</v>
      </c>
      <c r="E123" s="73">
        <f t="shared" si="85"/>
        <v>33.231491822904012</v>
      </c>
      <c r="F123" s="73">
        <f t="shared" si="68"/>
        <v>322.34547068216887</v>
      </c>
      <c r="G123" s="155">
        <f t="shared" si="86"/>
        <v>3.6220985944989117</v>
      </c>
      <c r="H123" s="139">
        <v>14</v>
      </c>
      <c r="I123" s="140">
        <f>Input!J18</f>
        <v>0</v>
      </c>
      <c r="J123" s="140">
        <f t="shared" si="87"/>
        <v>0</v>
      </c>
      <c r="K123" s="140">
        <f t="shared" si="88"/>
        <v>0</v>
      </c>
      <c r="L123" s="140">
        <f t="shared" si="69"/>
        <v>0</v>
      </c>
      <c r="M123" s="158">
        <f t="shared" si="89"/>
        <v>0</v>
      </c>
      <c r="N123" s="74">
        <v>14</v>
      </c>
      <c r="O123" s="75">
        <f>Input!L18</f>
        <v>0</v>
      </c>
      <c r="P123" s="75">
        <f t="shared" si="90"/>
        <v>0</v>
      </c>
      <c r="Q123" s="75">
        <f t="shared" si="91"/>
        <v>0</v>
      </c>
      <c r="R123" s="75">
        <f t="shared" si="70"/>
        <v>0</v>
      </c>
      <c r="S123" s="160">
        <f t="shared" si="92"/>
        <v>0</v>
      </c>
      <c r="T123" s="77">
        <v>14</v>
      </c>
      <c r="U123" s="78">
        <f>Input!N18</f>
        <v>0</v>
      </c>
      <c r="V123" s="78">
        <f t="shared" si="93"/>
        <v>0</v>
      </c>
      <c r="W123" s="151">
        <f t="shared" si="94"/>
        <v>0</v>
      </c>
      <c r="X123" s="78">
        <f t="shared" si="71"/>
        <v>0</v>
      </c>
      <c r="Y123" s="162">
        <f t="shared" si="95"/>
        <v>0</v>
      </c>
      <c r="Z123" s="79">
        <v>14</v>
      </c>
      <c r="AA123" s="80">
        <f>Input!P18</f>
        <v>0</v>
      </c>
      <c r="AB123" s="80">
        <f t="shared" si="96"/>
        <v>0</v>
      </c>
      <c r="AC123" s="80">
        <f t="shared" si="97"/>
        <v>0</v>
      </c>
      <c r="AD123" s="80">
        <f t="shared" si="72"/>
        <v>0</v>
      </c>
      <c r="AE123" s="80">
        <f t="shared" si="98"/>
        <v>0</v>
      </c>
      <c r="AF123" s="552">
        <v>14</v>
      </c>
      <c r="AG123" s="553">
        <f>Input!R18</f>
        <v>0</v>
      </c>
      <c r="AH123" s="553">
        <f t="shared" si="102"/>
        <v>0</v>
      </c>
      <c r="AI123" s="553">
        <f t="shared" si="99"/>
        <v>0</v>
      </c>
      <c r="AJ123" s="553">
        <f t="shared" si="100"/>
        <v>0</v>
      </c>
      <c r="AK123" s="555">
        <f t="shared" si="101"/>
        <v>0</v>
      </c>
      <c r="AL123" s="157">
        <f t="shared" si="74"/>
        <v>0</v>
      </c>
      <c r="AM123" s="31">
        <f t="shared" si="75"/>
        <v>2</v>
      </c>
      <c r="AN123" s="157">
        <f t="shared" si="76"/>
        <v>0</v>
      </c>
      <c r="AO123" s="31" t="str">
        <f t="shared" si="77"/>
        <v/>
      </c>
      <c r="AP123" s="157">
        <f t="shared" si="78"/>
        <v>0</v>
      </c>
      <c r="AQ123" s="31" t="str">
        <f t="shared" si="79"/>
        <v/>
      </c>
      <c r="AR123" s="157">
        <f t="shared" si="80"/>
        <v>0</v>
      </c>
      <c r="AS123" s="31" t="str">
        <f t="shared" si="81"/>
        <v/>
      </c>
      <c r="AT123" s="157">
        <f t="shared" si="82"/>
        <v>0</v>
      </c>
      <c r="AU123" s="31" t="str">
        <f t="shared" si="83"/>
        <v/>
      </c>
    </row>
    <row r="124" spans="2:49" x14ac:dyDescent="0.2">
      <c r="B124" s="16">
        <v>15</v>
      </c>
      <c r="C124" s="73">
        <f>Input!H19</f>
        <v>0</v>
      </c>
      <c r="D124" s="73">
        <f t="shared" si="84"/>
        <v>0</v>
      </c>
      <c r="E124" s="73">
        <f t="shared" si="85"/>
        <v>0</v>
      </c>
      <c r="F124" s="73">
        <f t="shared" si="68"/>
        <v>0</v>
      </c>
      <c r="G124" s="155">
        <f t="shared" si="86"/>
        <v>0</v>
      </c>
      <c r="H124" s="139">
        <v>15</v>
      </c>
      <c r="I124" s="140">
        <f>Input!J19</f>
        <v>0</v>
      </c>
      <c r="J124" s="140">
        <f t="shared" si="87"/>
        <v>0</v>
      </c>
      <c r="K124" s="140">
        <f t="shared" si="88"/>
        <v>0</v>
      </c>
      <c r="L124" s="140">
        <f t="shared" si="69"/>
        <v>0</v>
      </c>
      <c r="M124" s="158">
        <f t="shared" si="89"/>
        <v>0</v>
      </c>
      <c r="N124" s="74">
        <v>15</v>
      </c>
      <c r="O124" s="75">
        <f>Input!L19</f>
        <v>0</v>
      </c>
      <c r="P124" s="75">
        <f t="shared" si="90"/>
        <v>0</v>
      </c>
      <c r="Q124" s="75">
        <f t="shared" si="91"/>
        <v>0</v>
      </c>
      <c r="R124" s="75">
        <f t="shared" si="70"/>
        <v>0</v>
      </c>
      <c r="S124" s="160">
        <f t="shared" si="92"/>
        <v>0</v>
      </c>
      <c r="T124" s="77">
        <v>15</v>
      </c>
      <c r="U124" s="78">
        <f>Input!N19</f>
        <v>0</v>
      </c>
      <c r="V124" s="78">
        <f t="shared" si="93"/>
        <v>0</v>
      </c>
      <c r="W124" s="151">
        <f t="shared" si="94"/>
        <v>0</v>
      </c>
      <c r="X124" s="78">
        <f t="shared" si="71"/>
        <v>0</v>
      </c>
      <c r="Y124" s="162">
        <f t="shared" si="95"/>
        <v>0</v>
      </c>
      <c r="Z124" s="79">
        <v>15</v>
      </c>
      <c r="AA124" s="80">
        <f>Input!P19</f>
        <v>0</v>
      </c>
      <c r="AB124" s="80">
        <f t="shared" si="96"/>
        <v>0</v>
      </c>
      <c r="AC124" s="80">
        <f t="shared" si="97"/>
        <v>0</v>
      </c>
      <c r="AD124" s="80">
        <f t="shared" si="72"/>
        <v>0</v>
      </c>
      <c r="AE124" s="80">
        <f t="shared" si="98"/>
        <v>0</v>
      </c>
      <c r="AF124" s="552">
        <v>15</v>
      </c>
      <c r="AG124" s="553">
        <f>Input!R19</f>
        <v>0</v>
      </c>
      <c r="AH124" s="553">
        <f t="shared" si="102"/>
        <v>0</v>
      </c>
      <c r="AI124" s="553">
        <f t="shared" si="99"/>
        <v>0</v>
      </c>
      <c r="AJ124" s="553">
        <f t="shared" si="100"/>
        <v>0</v>
      </c>
      <c r="AK124" s="555">
        <f t="shared" si="101"/>
        <v>0</v>
      </c>
      <c r="AL124" s="157">
        <f t="shared" si="74"/>
        <v>0</v>
      </c>
      <c r="AM124" s="31" t="str">
        <f t="shared" si="75"/>
        <v/>
      </c>
      <c r="AN124" s="157">
        <f t="shared" si="76"/>
        <v>0</v>
      </c>
      <c r="AO124" s="31" t="str">
        <f t="shared" si="77"/>
        <v/>
      </c>
      <c r="AP124" s="157">
        <f t="shared" si="78"/>
        <v>0</v>
      </c>
      <c r="AQ124" s="31" t="str">
        <f t="shared" si="79"/>
        <v/>
      </c>
      <c r="AR124" s="157">
        <f t="shared" si="80"/>
        <v>0</v>
      </c>
      <c r="AS124" s="31" t="str">
        <f t="shared" si="81"/>
        <v/>
      </c>
      <c r="AT124" s="157">
        <f t="shared" si="82"/>
        <v>0</v>
      </c>
      <c r="AU124" s="31" t="str">
        <f t="shared" si="83"/>
        <v/>
      </c>
    </row>
    <row r="125" spans="2:49" x14ac:dyDescent="0.2">
      <c r="B125" s="16">
        <v>16</v>
      </c>
      <c r="C125" s="73">
        <f>Input!H20</f>
        <v>0</v>
      </c>
      <c r="D125" s="73">
        <f t="shared" si="84"/>
        <v>0</v>
      </c>
      <c r="E125" s="73">
        <f t="shared" si="85"/>
        <v>0</v>
      </c>
      <c r="F125" s="73">
        <f t="shared" si="68"/>
        <v>0</v>
      </c>
      <c r="G125" s="155">
        <f t="shared" si="86"/>
        <v>0</v>
      </c>
      <c r="H125" s="139">
        <v>16</v>
      </c>
      <c r="I125" s="140">
        <f>Input!J20</f>
        <v>0</v>
      </c>
      <c r="J125" s="140">
        <f t="shared" si="87"/>
        <v>0</v>
      </c>
      <c r="K125" s="140">
        <f t="shared" si="88"/>
        <v>0</v>
      </c>
      <c r="L125" s="140">
        <f t="shared" si="69"/>
        <v>0</v>
      </c>
      <c r="M125" s="158">
        <f t="shared" si="89"/>
        <v>0</v>
      </c>
      <c r="N125" s="74">
        <v>16</v>
      </c>
      <c r="O125" s="75">
        <f>Input!L20</f>
        <v>0</v>
      </c>
      <c r="P125" s="75">
        <f t="shared" si="90"/>
        <v>0</v>
      </c>
      <c r="Q125" s="75">
        <f t="shared" si="91"/>
        <v>0</v>
      </c>
      <c r="R125" s="75">
        <f t="shared" si="70"/>
        <v>0</v>
      </c>
      <c r="S125" s="160">
        <f t="shared" si="92"/>
        <v>0</v>
      </c>
      <c r="T125" s="77">
        <v>16</v>
      </c>
      <c r="U125" s="78">
        <f>Input!N20</f>
        <v>0</v>
      </c>
      <c r="V125" s="78">
        <f t="shared" si="93"/>
        <v>0</v>
      </c>
      <c r="W125" s="151">
        <f t="shared" si="94"/>
        <v>0</v>
      </c>
      <c r="X125" s="78">
        <f t="shared" si="71"/>
        <v>0</v>
      </c>
      <c r="Y125" s="162">
        <f t="shared" si="95"/>
        <v>0</v>
      </c>
      <c r="Z125" s="79">
        <v>16</v>
      </c>
      <c r="AA125" s="80">
        <f>Input!P20</f>
        <v>0</v>
      </c>
      <c r="AB125" s="80">
        <f t="shared" si="96"/>
        <v>0</v>
      </c>
      <c r="AC125" s="80">
        <f t="shared" si="97"/>
        <v>0</v>
      </c>
      <c r="AD125" s="80">
        <f t="shared" si="72"/>
        <v>0</v>
      </c>
      <c r="AE125" s="80">
        <f t="shared" si="98"/>
        <v>0</v>
      </c>
      <c r="AF125" s="552">
        <v>16</v>
      </c>
      <c r="AG125" s="553">
        <f>Input!R20</f>
        <v>0</v>
      </c>
      <c r="AH125" s="553">
        <f t="shared" si="102"/>
        <v>0</v>
      </c>
      <c r="AI125" s="553">
        <f t="shared" si="99"/>
        <v>0</v>
      </c>
      <c r="AJ125" s="553">
        <f t="shared" si="100"/>
        <v>0</v>
      </c>
      <c r="AK125" s="555">
        <f t="shared" si="101"/>
        <v>0</v>
      </c>
      <c r="AL125" s="157">
        <f t="shared" si="74"/>
        <v>0</v>
      </c>
      <c r="AM125" s="31" t="str">
        <f t="shared" si="75"/>
        <v/>
      </c>
      <c r="AN125" s="157">
        <f t="shared" si="76"/>
        <v>0</v>
      </c>
      <c r="AO125" s="31" t="str">
        <f t="shared" si="77"/>
        <v/>
      </c>
      <c r="AP125" s="157">
        <f t="shared" si="78"/>
        <v>0</v>
      </c>
      <c r="AQ125" s="31" t="str">
        <f t="shared" si="79"/>
        <v/>
      </c>
      <c r="AR125" s="157">
        <f t="shared" si="80"/>
        <v>0</v>
      </c>
      <c r="AS125" s="31" t="str">
        <f t="shared" si="81"/>
        <v/>
      </c>
      <c r="AT125" s="157">
        <f t="shared" si="82"/>
        <v>0</v>
      </c>
      <c r="AU125" s="31" t="str">
        <f t="shared" si="83"/>
        <v/>
      </c>
    </row>
    <row r="126" spans="2:49" x14ac:dyDescent="0.2">
      <c r="B126" s="16">
        <v>17</v>
      </c>
      <c r="C126" s="73">
        <f>Input!H21</f>
        <v>0</v>
      </c>
      <c r="D126" s="73">
        <f t="shared" si="84"/>
        <v>0</v>
      </c>
      <c r="E126" s="73">
        <f t="shared" si="85"/>
        <v>0</v>
      </c>
      <c r="F126" s="73">
        <f t="shared" si="68"/>
        <v>0</v>
      </c>
      <c r="G126" s="155">
        <f t="shared" si="86"/>
        <v>0</v>
      </c>
      <c r="H126" s="139">
        <v>17</v>
      </c>
      <c r="I126" s="140">
        <f>Input!J21</f>
        <v>0</v>
      </c>
      <c r="J126" s="140">
        <f t="shared" si="87"/>
        <v>0</v>
      </c>
      <c r="K126" s="140">
        <f t="shared" si="88"/>
        <v>0</v>
      </c>
      <c r="L126" s="140">
        <f t="shared" si="69"/>
        <v>0</v>
      </c>
      <c r="M126" s="158">
        <f t="shared" si="89"/>
        <v>0</v>
      </c>
      <c r="N126" s="74">
        <v>17</v>
      </c>
      <c r="O126" s="75">
        <f>Input!L21</f>
        <v>0</v>
      </c>
      <c r="P126" s="75">
        <f t="shared" si="90"/>
        <v>0</v>
      </c>
      <c r="Q126" s="75">
        <f t="shared" si="91"/>
        <v>0</v>
      </c>
      <c r="R126" s="75">
        <f t="shared" si="70"/>
        <v>0</v>
      </c>
      <c r="S126" s="160">
        <f t="shared" si="92"/>
        <v>0</v>
      </c>
      <c r="T126" s="77">
        <v>17</v>
      </c>
      <c r="U126" s="78">
        <f>Input!N21</f>
        <v>0</v>
      </c>
      <c r="V126" s="78">
        <f t="shared" si="93"/>
        <v>0</v>
      </c>
      <c r="W126" s="151">
        <f t="shared" si="94"/>
        <v>0</v>
      </c>
      <c r="X126" s="78">
        <f t="shared" si="71"/>
        <v>0</v>
      </c>
      <c r="Y126" s="162">
        <f t="shared" si="95"/>
        <v>0</v>
      </c>
      <c r="Z126" s="79">
        <v>17</v>
      </c>
      <c r="AA126" s="80">
        <f>Input!P21</f>
        <v>0</v>
      </c>
      <c r="AB126" s="80">
        <f t="shared" si="96"/>
        <v>0</v>
      </c>
      <c r="AC126" s="80">
        <f t="shared" si="97"/>
        <v>0</v>
      </c>
      <c r="AD126" s="80">
        <f t="shared" si="72"/>
        <v>0</v>
      </c>
      <c r="AE126" s="80">
        <f t="shared" si="98"/>
        <v>0</v>
      </c>
      <c r="AF126" s="552">
        <v>17</v>
      </c>
      <c r="AG126" s="553">
        <f>Input!R21</f>
        <v>0</v>
      </c>
      <c r="AH126" s="553">
        <f t="shared" si="102"/>
        <v>0</v>
      </c>
      <c r="AI126" s="553">
        <f t="shared" si="99"/>
        <v>0</v>
      </c>
      <c r="AJ126" s="553">
        <f t="shared" si="100"/>
        <v>0</v>
      </c>
      <c r="AK126" s="555">
        <f t="shared" si="101"/>
        <v>0</v>
      </c>
      <c r="AL126" s="157">
        <f t="shared" si="74"/>
        <v>0</v>
      </c>
      <c r="AM126" s="31" t="str">
        <f t="shared" si="75"/>
        <v/>
      </c>
      <c r="AN126" s="157">
        <f t="shared" si="76"/>
        <v>0</v>
      </c>
      <c r="AO126" s="31" t="str">
        <f t="shared" si="77"/>
        <v/>
      </c>
      <c r="AP126" s="157">
        <f t="shared" si="78"/>
        <v>0</v>
      </c>
      <c r="AQ126" s="31" t="str">
        <f t="shared" si="79"/>
        <v/>
      </c>
      <c r="AR126" s="157">
        <f t="shared" si="80"/>
        <v>0</v>
      </c>
      <c r="AS126" s="31" t="str">
        <f t="shared" si="81"/>
        <v/>
      </c>
      <c r="AT126" s="157">
        <f t="shared" si="82"/>
        <v>0</v>
      </c>
      <c r="AU126" s="31" t="str">
        <f t="shared" si="83"/>
        <v/>
      </c>
    </row>
    <row r="127" spans="2:49" x14ac:dyDescent="0.2">
      <c r="B127" s="16">
        <v>18</v>
      </c>
      <c r="C127" s="73">
        <f>Input!H22</f>
        <v>3.6</v>
      </c>
      <c r="D127" s="73">
        <f t="shared" si="84"/>
        <v>101.73493290803466</v>
      </c>
      <c r="E127" s="73">
        <f t="shared" si="85"/>
        <v>66.984975783551121</v>
      </c>
      <c r="F127" s="73">
        <f t="shared" si="68"/>
        <v>241.14591282078405</v>
      </c>
      <c r="G127" s="155">
        <f t="shared" si="86"/>
        <v>2.3377872214231474</v>
      </c>
      <c r="H127" s="139">
        <v>18</v>
      </c>
      <c r="I127" s="140">
        <f>Input!J22</f>
        <v>0</v>
      </c>
      <c r="J127" s="140">
        <f t="shared" si="87"/>
        <v>0</v>
      </c>
      <c r="K127" s="140">
        <f t="shared" si="88"/>
        <v>0</v>
      </c>
      <c r="L127" s="140">
        <f t="shared" si="69"/>
        <v>0</v>
      </c>
      <c r="M127" s="158">
        <f t="shared" si="89"/>
        <v>0</v>
      </c>
      <c r="N127" s="74">
        <v>18</v>
      </c>
      <c r="O127" s="75">
        <f>Input!L22</f>
        <v>0</v>
      </c>
      <c r="P127" s="75">
        <f t="shared" si="90"/>
        <v>0</v>
      </c>
      <c r="Q127" s="75">
        <f t="shared" si="91"/>
        <v>0</v>
      </c>
      <c r="R127" s="75">
        <f t="shared" si="70"/>
        <v>0</v>
      </c>
      <c r="S127" s="160">
        <f t="shared" si="92"/>
        <v>0</v>
      </c>
      <c r="T127" s="77">
        <v>18</v>
      </c>
      <c r="U127" s="78">
        <f>Input!N22</f>
        <v>0</v>
      </c>
      <c r="V127" s="78">
        <f t="shared" si="93"/>
        <v>0</v>
      </c>
      <c r="W127" s="151">
        <f t="shared" si="94"/>
        <v>0</v>
      </c>
      <c r="X127" s="78">
        <f t="shared" si="71"/>
        <v>0</v>
      </c>
      <c r="Y127" s="162">
        <f t="shared" si="95"/>
        <v>0</v>
      </c>
      <c r="Z127" s="79">
        <v>18</v>
      </c>
      <c r="AA127" s="80">
        <f>Input!P22</f>
        <v>0</v>
      </c>
      <c r="AB127" s="80">
        <f t="shared" si="96"/>
        <v>0</v>
      </c>
      <c r="AC127" s="80">
        <f t="shared" si="97"/>
        <v>0</v>
      </c>
      <c r="AD127" s="80">
        <f t="shared" si="72"/>
        <v>0</v>
      </c>
      <c r="AE127" s="80">
        <f t="shared" si="98"/>
        <v>0</v>
      </c>
      <c r="AF127" s="552">
        <v>18</v>
      </c>
      <c r="AG127" s="553">
        <f>Input!R22</f>
        <v>0</v>
      </c>
      <c r="AH127" s="553">
        <f t="shared" si="102"/>
        <v>0</v>
      </c>
      <c r="AI127" s="553">
        <f t="shared" si="99"/>
        <v>0</v>
      </c>
      <c r="AJ127" s="553">
        <f t="shared" si="100"/>
        <v>0</v>
      </c>
      <c r="AK127" s="555">
        <f t="shared" si="101"/>
        <v>0</v>
      </c>
      <c r="AL127" s="157">
        <f t="shared" si="74"/>
        <v>1</v>
      </c>
      <c r="AM127" s="31">
        <f t="shared" si="75"/>
        <v>3</v>
      </c>
      <c r="AN127" s="157">
        <f t="shared" si="76"/>
        <v>0</v>
      </c>
      <c r="AO127" s="31" t="str">
        <f t="shared" si="77"/>
        <v/>
      </c>
      <c r="AP127" s="157">
        <f t="shared" si="78"/>
        <v>0</v>
      </c>
      <c r="AQ127" s="31" t="str">
        <f t="shared" si="79"/>
        <v/>
      </c>
      <c r="AR127" s="157">
        <f t="shared" si="80"/>
        <v>0</v>
      </c>
      <c r="AS127" s="31" t="str">
        <f t="shared" si="81"/>
        <v/>
      </c>
      <c r="AT127" s="157">
        <f t="shared" si="82"/>
        <v>0</v>
      </c>
      <c r="AU127" s="31" t="str">
        <f t="shared" si="83"/>
        <v/>
      </c>
    </row>
    <row r="128" spans="2:49" x14ac:dyDescent="0.2">
      <c r="B128" s="16">
        <v>19</v>
      </c>
      <c r="C128" s="73">
        <f>Input!H23</f>
        <v>0</v>
      </c>
      <c r="D128" s="73">
        <f t="shared" si="84"/>
        <v>0</v>
      </c>
      <c r="E128" s="73">
        <f t="shared" si="85"/>
        <v>0</v>
      </c>
      <c r="F128" s="73">
        <f t="shared" si="68"/>
        <v>0</v>
      </c>
      <c r="G128" s="155">
        <f t="shared" si="86"/>
        <v>0</v>
      </c>
      <c r="H128" s="139">
        <v>19</v>
      </c>
      <c r="I128" s="140">
        <f>Input!J23</f>
        <v>0</v>
      </c>
      <c r="J128" s="140">
        <f t="shared" si="87"/>
        <v>0</v>
      </c>
      <c r="K128" s="140">
        <f t="shared" si="88"/>
        <v>0</v>
      </c>
      <c r="L128" s="140">
        <f t="shared" si="69"/>
        <v>0</v>
      </c>
      <c r="M128" s="158">
        <f t="shared" si="89"/>
        <v>0</v>
      </c>
      <c r="N128" s="74">
        <v>19</v>
      </c>
      <c r="O128" s="75">
        <f>Input!L23</f>
        <v>0</v>
      </c>
      <c r="P128" s="75">
        <f t="shared" si="90"/>
        <v>0</v>
      </c>
      <c r="Q128" s="75">
        <f t="shared" si="91"/>
        <v>0</v>
      </c>
      <c r="R128" s="75">
        <f t="shared" si="70"/>
        <v>0</v>
      </c>
      <c r="S128" s="160">
        <f t="shared" si="92"/>
        <v>0</v>
      </c>
      <c r="T128" s="77">
        <v>19</v>
      </c>
      <c r="U128" s="78">
        <f>Input!N23</f>
        <v>0</v>
      </c>
      <c r="V128" s="78">
        <f t="shared" si="93"/>
        <v>0</v>
      </c>
      <c r="W128" s="151">
        <f t="shared" si="94"/>
        <v>0</v>
      </c>
      <c r="X128" s="78">
        <f t="shared" si="71"/>
        <v>0</v>
      </c>
      <c r="Y128" s="162">
        <f t="shared" si="95"/>
        <v>0</v>
      </c>
      <c r="Z128" s="79">
        <v>19</v>
      </c>
      <c r="AA128" s="80">
        <f>Input!P23</f>
        <v>0</v>
      </c>
      <c r="AB128" s="80">
        <f t="shared" si="96"/>
        <v>0</v>
      </c>
      <c r="AC128" s="80">
        <f t="shared" si="97"/>
        <v>0</v>
      </c>
      <c r="AD128" s="80">
        <f t="shared" si="72"/>
        <v>0</v>
      </c>
      <c r="AE128" s="80">
        <f t="shared" si="98"/>
        <v>0</v>
      </c>
      <c r="AF128" s="552">
        <v>19</v>
      </c>
      <c r="AG128" s="553">
        <f>Input!R23</f>
        <v>0</v>
      </c>
      <c r="AH128" s="553">
        <f t="shared" si="102"/>
        <v>0</v>
      </c>
      <c r="AI128" s="553">
        <f t="shared" si="99"/>
        <v>0</v>
      </c>
      <c r="AJ128" s="553">
        <f t="shared" si="100"/>
        <v>0</v>
      </c>
      <c r="AK128" s="555">
        <f t="shared" si="101"/>
        <v>0</v>
      </c>
      <c r="AL128" s="157">
        <f t="shared" si="74"/>
        <v>0</v>
      </c>
      <c r="AM128" s="31" t="str">
        <f t="shared" si="75"/>
        <v/>
      </c>
      <c r="AN128" s="157">
        <f t="shared" si="76"/>
        <v>0</v>
      </c>
      <c r="AO128" s="31" t="str">
        <f t="shared" si="77"/>
        <v/>
      </c>
      <c r="AP128" s="157">
        <f t="shared" si="78"/>
        <v>0</v>
      </c>
      <c r="AQ128" s="31" t="str">
        <f t="shared" si="79"/>
        <v/>
      </c>
      <c r="AR128" s="157">
        <f t="shared" si="80"/>
        <v>0</v>
      </c>
      <c r="AS128" s="31" t="str">
        <f t="shared" si="81"/>
        <v/>
      </c>
      <c r="AT128" s="157">
        <f t="shared" si="82"/>
        <v>0</v>
      </c>
      <c r="AU128" s="31" t="str">
        <f t="shared" si="83"/>
        <v/>
      </c>
    </row>
    <row r="129" spans="2:47" x14ac:dyDescent="0.2">
      <c r="B129" s="16">
        <v>20</v>
      </c>
      <c r="C129" s="73">
        <f>Input!H24</f>
        <v>0</v>
      </c>
      <c r="D129" s="73">
        <f t="shared" si="84"/>
        <v>0</v>
      </c>
      <c r="E129" s="73">
        <f t="shared" si="85"/>
        <v>0</v>
      </c>
      <c r="F129" s="73">
        <f t="shared" si="68"/>
        <v>0</v>
      </c>
      <c r="G129" s="155">
        <f t="shared" si="86"/>
        <v>0</v>
      </c>
      <c r="H129" s="139">
        <v>20</v>
      </c>
      <c r="I129" s="140">
        <f>Input!J24</f>
        <v>0</v>
      </c>
      <c r="J129" s="140">
        <f t="shared" si="87"/>
        <v>0</v>
      </c>
      <c r="K129" s="140">
        <f t="shared" si="88"/>
        <v>0</v>
      </c>
      <c r="L129" s="140">
        <f t="shared" si="69"/>
        <v>0</v>
      </c>
      <c r="M129" s="158">
        <f t="shared" si="89"/>
        <v>0</v>
      </c>
      <c r="N129" s="74">
        <v>20</v>
      </c>
      <c r="O129" s="75">
        <f>Input!L24</f>
        <v>0</v>
      </c>
      <c r="P129" s="75">
        <f t="shared" si="90"/>
        <v>0</v>
      </c>
      <c r="Q129" s="75">
        <f t="shared" si="91"/>
        <v>0</v>
      </c>
      <c r="R129" s="75">
        <f t="shared" si="70"/>
        <v>0</v>
      </c>
      <c r="S129" s="160">
        <f t="shared" si="92"/>
        <v>0</v>
      </c>
      <c r="T129" s="77">
        <v>20</v>
      </c>
      <c r="U129" s="78">
        <f>Input!N24</f>
        <v>0</v>
      </c>
      <c r="V129" s="78">
        <f t="shared" si="93"/>
        <v>0</v>
      </c>
      <c r="W129" s="151">
        <f t="shared" si="94"/>
        <v>0</v>
      </c>
      <c r="X129" s="78">
        <f t="shared" si="71"/>
        <v>0</v>
      </c>
      <c r="Y129" s="162">
        <f t="shared" si="95"/>
        <v>0</v>
      </c>
      <c r="Z129" s="79">
        <v>20</v>
      </c>
      <c r="AA129" s="80">
        <f>Input!P24</f>
        <v>0</v>
      </c>
      <c r="AB129" s="80">
        <f t="shared" si="96"/>
        <v>0</v>
      </c>
      <c r="AC129" s="80">
        <f t="shared" si="97"/>
        <v>0</v>
      </c>
      <c r="AD129" s="80">
        <f t="shared" si="72"/>
        <v>0</v>
      </c>
      <c r="AE129" s="80">
        <f t="shared" si="98"/>
        <v>0</v>
      </c>
      <c r="AF129" s="552">
        <v>20</v>
      </c>
      <c r="AG129" s="553">
        <f>Input!R24</f>
        <v>0</v>
      </c>
      <c r="AH129" s="553">
        <f t="shared" si="102"/>
        <v>0</v>
      </c>
      <c r="AI129" s="553">
        <f t="shared" si="99"/>
        <v>0</v>
      </c>
      <c r="AJ129" s="553">
        <f t="shared" si="100"/>
        <v>0</v>
      </c>
      <c r="AK129" s="555">
        <f t="shared" si="101"/>
        <v>0</v>
      </c>
      <c r="AL129" s="157">
        <f t="shared" si="74"/>
        <v>0</v>
      </c>
      <c r="AM129" s="31" t="str">
        <f t="shared" si="75"/>
        <v/>
      </c>
      <c r="AN129" s="157">
        <f t="shared" si="76"/>
        <v>0</v>
      </c>
      <c r="AO129" s="31" t="str">
        <f t="shared" si="77"/>
        <v/>
      </c>
      <c r="AP129" s="157">
        <f t="shared" si="78"/>
        <v>0</v>
      </c>
      <c r="AQ129" s="31" t="str">
        <f t="shared" si="79"/>
        <v/>
      </c>
      <c r="AR129" s="157">
        <f t="shared" si="80"/>
        <v>0</v>
      </c>
      <c r="AS129" s="31" t="str">
        <f t="shared" si="81"/>
        <v/>
      </c>
      <c r="AT129" s="157">
        <f t="shared" si="82"/>
        <v>0</v>
      </c>
      <c r="AU129" s="31" t="str">
        <f t="shared" si="83"/>
        <v/>
      </c>
    </row>
    <row r="130" spans="2:47" x14ac:dyDescent="0.2">
      <c r="B130" s="16">
        <v>21</v>
      </c>
      <c r="C130" s="73">
        <f>Input!H25</f>
        <v>0</v>
      </c>
      <c r="D130" s="73">
        <f t="shared" si="84"/>
        <v>0</v>
      </c>
      <c r="E130" s="73">
        <f t="shared" si="85"/>
        <v>0</v>
      </c>
      <c r="F130" s="73">
        <f t="shared" si="68"/>
        <v>0</v>
      </c>
      <c r="G130" s="155">
        <f t="shared" si="86"/>
        <v>0</v>
      </c>
      <c r="H130" s="139">
        <v>21</v>
      </c>
      <c r="I130" s="140">
        <f>Input!J25</f>
        <v>0</v>
      </c>
      <c r="J130" s="140">
        <f t="shared" si="87"/>
        <v>0</v>
      </c>
      <c r="K130" s="140">
        <f t="shared" si="88"/>
        <v>0</v>
      </c>
      <c r="L130" s="140">
        <f t="shared" si="69"/>
        <v>0</v>
      </c>
      <c r="M130" s="158">
        <f t="shared" si="89"/>
        <v>0</v>
      </c>
      <c r="N130" s="74">
        <v>21</v>
      </c>
      <c r="O130" s="75">
        <f>Input!L25</f>
        <v>0</v>
      </c>
      <c r="P130" s="75">
        <f t="shared" si="90"/>
        <v>0</v>
      </c>
      <c r="Q130" s="75">
        <f t="shared" si="91"/>
        <v>0</v>
      </c>
      <c r="R130" s="75">
        <f t="shared" si="70"/>
        <v>0</v>
      </c>
      <c r="S130" s="160">
        <f t="shared" si="92"/>
        <v>0</v>
      </c>
      <c r="T130" s="77">
        <v>21</v>
      </c>
      <c r="U130" s="78">
        <f>Input!N25</f>
        <v>0</v>
      </c>
      <c r="V130" s="78">
        <f t="shared" si="93"/>
        <v>0</v>
      </c>
      <c r="W130" s="151">
        <f t="shared" si="94"/>
        <v>0</v>
      </c>
      <c r="X130" s="78">
        <f t="shared" si="71"/>
        <v>0</v>
      </c>
      <c r="Y130" s="162">
        <f t="shared" si="95"/>
        <v>0</v>
      </c>
      <c r="Z130" s="79">
        <v>21</v>
      </c>
      <c r="AA130" s="80">
        <f>Input!P25</f>
        <v>0</v>
      </c>
      <c r="AB130" s="80">
        <f t="shared" si="96"/>
        <v>0</v>
      </c>
      <c r="AC130" s="80">
        <f t="shared" si="97"/>
        <v>0</v>
      </c>
      <c r="AD130" s="80">
        <f t="shared" si="72"/>
        <v>0</v>
      </c>
      <c r="AE130" s="80">
        <f t="shared" si="98"/>
        <v>0</v>
      </c>
      <c r="AF130" s="552">
        <v>21</v>
      </c>
      <c r="AG130" s="553">
        <f>Input!R25</f>
        <v>0</v>
      </c>
      <c r="AH130" s="553">
        <f t="shared" si="102"/>
        <v>0</v>
      </c>
      <c r="AI130" s="553">
        <f t="shared" si="99"/>
        <v>0</v>
      </c>
      <c r="AJ130" s="553">
        <f t="shared" si="100"/>
        <v>0</v>
      </c>
      <c r="AK130" s="555">
        <f t="shared" si="101"/>
        <v>0</v>
      </c>
      <c r="AL130" s="157">
        <f t="shared" si="74"/>
        <v>0</v>
      </c>
      <c r="AM130" s="31" t="str">
        <f t="shared" si="75"/>
        <v/>
      </c>
      <c r="AN130" s="157">
        <f t="shared" si="76"/>
        <v>0</v>
      </c>
      <c r="AO130" s="31" t="str">
        <f t="shared" si="77"/>
        <v/>
      </c>
      <c r="AP130" s="157">
        <f t="shared" si="78"/>
        <v>0</v>
      </c>
      <c r="AQ130" s="31" t="str">
        <f t="shared" si="79"/>
        <v/>
      </c>
      <c r="AR130" s="157">
        <f t="shared" si="80"/>
        <v>0</v>
      </c>
      <c r="AS130" s="31" t="str">
        <f t="shared" si="81"/>
        <v/>
      </c>
      <c r="AT130" s="157">
        <f t="shared" si="82"/>
        <v>0</v>
      </c>
      <c r="AU130" s="31" t="str">
        <f t="shared" si="83"/>
        <v/>
      </c>
    </row>
    <row r="131" spans="2:47" x14ac:dyDescent="0.2">
      <c r="B131" s="16">
        <v>22</v>
      </c>
      <c r="C131" s="73">
        <f>Input!H26</f>
        <v>3.6</v>
      </c>
      <c r="D131" s="73">
        <f t="shared" si="84"/>
        <v>115.41516694149576</v>
      </c>
      <c r="E131" s="73">
        <f t="shared" si="85"/>
        <v>113.22707823021248</v>
      </c>
      <c r="F131" s="73">
        <f t="shared" si="68"/>
        <v>407.61748162876495</v>
      </c>
      <c r="G131" s="155">
        <f t="shared" si="86"/>
        <v>3.7732429447103715</v>
      </c>
      <c r="H131" s="139">
        <v>22</v>
      </c>
      <c r="I131" s="140">
        <f>Input!J26</f>
        <v>0</v>
      </c>
      <c r="J131" s="140">
        <f t="shared" si="87"/>
        <v>0</v>
      </c>
      <c r="K131" s="140">
        <f t="shared" si="88"/>
        <v>0</v>
      </c>
      <c r="L131" s="140">
        <f t="shared" si="69"/>
        <v>0</v>
      </c>
      <c r="M131" s="158">
        <f t="shared" si="89"/>
        <v>0</v>
      </c>
      <c r="N131" s="74">
        <v>22</v>
      </c>
      <c r="O131" s="75">
        <f>Input!L26</f>
        <v>0</v>
      </c>
      <c r="P131" s="75">
        <f t="shared" si="90"/>
        <v>0</v>
      </c>
      <c r="Q131" s="75">
        <f t="shared" si="91"/>
        <v>0</v>
      </c>
      <c r="R131" s="75">
        <f t="shared" si="70"/>
        <v>0</v>
      </c>
      <c r="S131" s="160">
        <f t="shared" si="92"/>
        <v>0</v>
      </c>
      <c r="T131" s="77">
        <v>22</v>
      </c>
      <c r="U131" s="78">
        <f>Input!N26</f>
        <v>0</v>
      </c>
      <c r="V131" s="78">
        <f t="shared" si="93"/>
        <v>0</v>
      </c>
      <c r="W131" s="151">
        <f t="shared" si="94"/>
        <v>0</v>
      </c>
      <c r="X131" s="78">
        <f t="shared" si="71"/>
        <v>0</v>
      </c>
      <c r="Y131" s="162">
        <f t="shared" si="95"/>
        <v>0</v>
      </c>
      <c r="Z131" s="79">
        <v>22</v>
      </c>
      <c r="AA131" s="80">
        <f>Input!P26</f>
        <v>0</v>
      </c>
      <c r="AB131" s="80">
        <f t="shared" si="96"/>
        <v>0</v>
      </c>
      <c r="AC131" s="80">
        <f t="shared" si="97"/>
        <v>0</v>
      </c>
      <c r="AD131" s="80">
        <f t="shared" si="72"/>
        <v>0</v>
      </c>
      <c r="AE131" s="80">
        <f t="shared" si="98"/>
        <v>0</v>
      </c>
      <c r="AF131" s="552">
        <v>22</v>
      </c>
      <c r="AG131" s="553">
        <f>Input!R26</f>
        <v>0</v>
      </c>
      <c r="AH131" s="553">
        <f t="shared" si="102"/>
        <v>0</v>
      </c>
      <c r="AI131" s="553">
        <f t="shared" si="99"/>
        <v>0</v>
      </c>
      <c r="AJ131" s="553">
        <f t="shared" si="100"/>
        <v>0</v>
      </c>
      <c r="AK131" s="555">
        <f t="shared" si="101"/>
        <v>0</v>
      </c>
      <c r="AL131" s="157">
        <f t="shared" si="74"/>
        <v>2</v>
      </c>
      <c r="AM131" s="31">
        <f t="shared" si="75"/>
        <v>2</v>
      </c>
      <c r="AN131" s="157">
        <f t="shared" si="76"/>
        <v>0</v>
      </c>
      <c r="AO131" s="31" t="str">
        <f t="shared" si="77"/>
        <v/>
      </c>
      <c r="AP131" s="157">
        <f t="shared" si="78"/>
        <v>0</v>
      </c>
      <c r="AQ131" s="31" t="str">
        <f t="shared" si="79"/>
        <v/>
      </c>
      <c r="AR131" s="157">
        <f t="shared" si="80"/>
        <v>0</v>
      </c>
      <c r="AS131" s="31" t="str">
        <f t="shared" si="81"/>
        <v/>
      </c>
      <c r="AT131" s="157">
        <f t="shared" si="82"/>
        <v>0</v>
      </c>
      <c r="AU131" s="31" t="str">
        <f t="shared" si="83"/>
        <v/>
      </c>
    </row>
    <row r="132" spans="2:47" x14ac:dyDescent="0.2">
      <c r="B132" s="16">
        <v>23</v>
      </c>
      <c r="C132" s="73">
        <f>Input!H27</f>
        <v>0</v>
      </c>
      <c r="D132" s="73">
        <f t="shared" si="84"/>
        <v>0</v>
      </c>
      <c r="E132" s="73">
        <f t="shared" si="85"/>
        <v>0</v>
      </c>
      <c r="F132" s="73">
        <f t="shared" si="68"/>
        <v>0</v>
      </c>
      <c r="G132" s="155">
        <f t="shared" si="86"/>
        <v>0</v>
      </c>
      <c r="H132" s="139">
        <v>23</v>
      </c>
      <c r="I132" s="140">
        <f>Input!J27</f>
        <v>0</v>
      </c>
      <c r="J132" s="140">
        <f t="shared" si="87"/>
        <v>0</v>
      </c>
      <c r="K132" s="140">
        <f t="shared" si="88"/>
        <v>0</v>
      </c>
      <c r="L132" s="140">
        <f t="shared" si="69"/>
        <v>0</v>
      </c>
      <c r="M132" s="158">
        <f t="shared" si="89"/>
        <v>0</v>
      </c>
      <c r="N132" s="74">
        <v>23</v>
      </c>
      <c r="O132" s="75">
        <f>Input!L27</f>
        <v>0</v>
      </c>
      <c r="P132" s="75">
        <f t="shared" si="90"/>
        <v>0</v>
      </c>
      <c r="Q132" s="75">
        <f t="shared" si="91"/>
        <v>0</v>
      </c>
      <c r="R132" s="75">
        <f t="shared" si="70"/>
        <v>0</v>
      </c>
      <c r="S132" s="160">
        <f t="shared" si="92"/>
        <v>0</v>
      </c>
      <c r="T132" s="77">
        <v>23</v>
      </c>
      <c r="U132" s="78">
        <f>Input!N27</f>
        <v>0</v>
      </c>
      <c r="V132" s="78">
        <f t="shared" si="93"/>
        <v>0</v>
      </c>
      <c r="W132" s="151">
        <f t="shared" si="94"/>
        <v>0</v>
      </c>
      <c r="X132" s="78">
        <f t="shared" si="71"/>
        <v>0</v>
      </c>
      <c r="Y132" s="162">
        <f t="shared" si="95"/>
        <v>0</v>
      </c>
      <c r="Z132" s="79">
        <v>23</v>
      </c>
      <c r="AA132" s="80">
        <f>Input!P27</f>
        <v>0</v>
      </c>
      <c r="AB132" s="80">
        <f t="shared" si="96"/>
        <v>0</v>
      </c>
      <c r="AC132" s="80">
        <f t="shared" si="97"/>
        <v>0</v>
      </c>
      <c r="AD132" s="80">
        <f t="shared" si="72"/>
        <v>0</v>
      </c>
      <c r="AE132" s="80">
        <f t="shared" si="98"/>
        <v>0</v>
      </c>
      <c r="AF132" s="552">
        <v>23</v>
      </c>
      <c r="AG132" s="553">
        <f>Input!R27</f>
        <v>0</v>
      </c>
      <c r="AH132" s="553">
        <f t="shared" si="102"/>
        <v>0</v>
      </c>
      <c r="AI132" s="553">
        <f t="shared" si="99"/>
        <v>0</v>
      </c>
      <c r="AJ132" s="553">
        <f t="shared" si="100"/>
        <v>0</v>
      </c>
      <c r="AK132" s="555">
        <f t="shared" si="101"/>
        <v>0</v>
      </c>
      <c r="AL132" s="157">
        <f t="shared" si="74"/>
        <v>0</v>
      </c>
      <c r="AM132" s="31" t="str">
        <f t="shared" si="75"/>
        <v/>
      </c>
      <c r="AN132" s="157">
        <f t="shared" si="76"/>
        <v>0</v>
      </c>
      <c r="AO132" s="31" t="str">
        <f t="shared" si="77"/>
        <v/>
      </c>
      <c r="AP132" s="157">
        <f t="shared" si="78"/>
        <v>0</v>
      </c>
      <c r="AQ132" s="31" t="str">
        <f t="shared" si="79"/>
        <v/>
      </c>
      <c r="AR132" s="157">
        <f t="shared" si="80"/>
        <v>0</v>
      </c>
      <c r="AS132" s="31" t="str">
        <f t="shared" si="81"/>
        <v/>
      </c>
      <c r="AT132" s="157">
        <f t="shared" si="82"/>
        <v>0</v>
      </c>
      <c r="AU132" s="31" t="str">
        <f t="shared" si="83"/>
        <v/>
      </c>
    </row>
    <row r="133" spans="2:47" x14ac:dyDescent="0.2">
      <c r="B133" s="16">
        <v>24</v>
      </c>
      <c r="C133" s="73">
        <f>Input!H28</f>
        <v>0</v>
      </c>
      <c r="D133" s="73">
        <f t="shared" si="84"/>
        <v>0</v>
      </c>
      <c r="E133" s="73">
        <f t="shared" si="85"/>
        <v>0</v>
      </c>
      <c r="F133" s="73">
        <f t="shared" si="68"/>
        <v>0</v>
      </c>
      <c r="G133" s="155">
        <f t="shared" si="86"/>
        <v>0</v>
      </c>
      <c r="H133" s="139">
        <v>24</v>
      </c>
      <c r="I133" s="140">
        <f>Input!J28</f>
        <v>0</v>
      </c>
      <c r="J133" s="140">
        <f t="shared" si="87"/>
        <v>0</v>
      </c>
      <c r="K133" s="140">
        <f t="shared" si="88"/>
        <v>0</v>
      </c>
      <c r="L133" s="140">
        <f t="shared" si="69"/>
        <v>0</v>
      </c>
      <c r="M133" s="158">
        <f t="shared" si="89"/>
        <v>0</v>
      </c>
      <c r="N133" s="74">
        <v>24</v>
      </c>
      <c r="O133" s="75">
        <f>Input!L28</f>
        <v>0</v>
      </c>
      <c r="P133" s="75">
        <f t="shared" si="90"/>
        <v>0</v>
      </c>
      <c r="Q133" s="75">
        <f t="shared" si="91"/>
        <v>0</v>
      </c>
      <c r="R133" s="75">
        <f t="shared" si="70"/>
        <v>0</v>
      </c>
      <c r="S133" s="160">
        <f t="shared" si="92"/>
        <v>0</v>
      </c>
      <c r="T133" s="77">
        <v>24</v>
      </c>
      <c r="U133" s="78">
        <f>Input!N28</f>
        <v>0</v>
      </c>
      <c r="V133" s="78">
        <f t="shared" si="93"/>
        <v>0</v>
      </c>
      <c r="W133" s="151">
        <f t="shared" si="94"/>
        <v>0</v>
      </c>
      <c r="X133" s="78">
        <f t="shared" si="71"/>
        <v>0</v>
      </c>
      <c r="Y133" s="162">
        <f t="shared" si="95"/>
        <v>0</v>
      </c>
      <c r="Z133" s="79">
        <v>24</v>
      </c>
      <c r="AA133" s="80">
        <f>Input!P28</f>
        <v>0</v>
      </c>
      <c r="AB133" s="80">
        <f t="shared" si="96"/>
        <v>0</v>
      </c>
      <c r="AC133" s="80">
        <f t="shared" si="97"/>
        <v>0</v>
      </c>
      <c r="AD133" s="80">
        <f t="shared" si="72"/>
        <v>0</v>
      </c>
      <c r="AE133" s="80">
        <f t="shared" si="98"/>
        <v>0</v>
      </c>
      <c r="AF133" s="552">
        <v>24</v>
      </c>
      <c r="AG133" s="553">
        <f>Input!R28</f>
        <v>0</v>
      </c>
      <c r="AH133" s="553">
        <f t="shared" si="102"/>
        <v>0</v>
      </c>
      <c r="AI133" s="553">
        <f t="shared" si="99"/>
        <v>0</v>
      </c>
      <c r="AJ133" s="553">
        <f t="shared" si="100"/>
        <v>0</v>
      </c>
      <c r="AK133" s="555">
        <f t="shared" si="101"/>
        <v>0</v>
      </c>
      <c r="AL133" s="157">
        <f t="shared" si="74"/>
        <v>0</v>
      </c>
      <c r="AM133" s="31" t="str">
        <f t="shared" si="75"/>
        <v/>
      </c>
      <c r="AN133" s="157">
        <f t="shared" si="76"/>
        <v>0</v>
      </c>
      <c r="AO133" s="31" t="str">
        <f t="shared" si="77"/>
        <v/>
      </c>
      <c r="AP133" s="157">
        <f t="shared" si="78"/>
        <v>0</v>
      </c>
      <c r="AQ133" s="31" t="str">
        <f t="shared" si="79"/>
        <v/>
      </c>
      <c r="AR133" s="157">
        <f t="shared" si="80"/>
        <v>0</v>
      </c>
      <c r="AS133" s="31" t="str">
        <f t="shared" si="81"/>
        <v/>
      </c>
      <c r="AT133" s="157">
        <f t="shared" si="82"/>
        <v>0</v>
      </c>
      <c r="AU133" s="31" t="str">
        <f t="shared" si="83"/>
        <v/>
      </c>
    </row>
    <row r="134" spans="2:47" x14ac:dyDescent="0.2">
      <c r="B134" s="16">
        <v>25</v>
      </c>
      <c r="C134" s="73">
        <f>Input!H29</f>
        <v>0</v>
      </c>
      <c r="D134" s="73">
        <f t="shared" si="84"/>
        <v>0</v>
      </c>
      <c r="E134" s="73">
        <f t="shared" si="85"/>
        <v>0</v>
      </c>
      <c r="F134" s="73">
        <f t="shared" si="68"/>
        <v>0</v>
      </c>
      <c r="G134" s="155">
        <f t="shared" si="86"/>
        <v>0</v>
      </c>
      <c r="H134" s="139">
        <v>25</v>
      </c>
      <c r="I134" s="140">
        <f>Input!J29</f>
        <v>0</v>
      </c>
      <c r="J134" s="140">
        <f t="shared" si="87"/>
        <v>0</v>
      </c>
      <c r="K134" s="140">
        <f t="shared" si="88"/>
        <v>0</v>
      </c>
      <c r="L134" s="140">
        <f t="shared" si="69"/>
        <v>0</v>
      </c>
      <c r="M134" s="158">
        <f t="shared" si="89"/>
        <v>0</v>
      </c>
      <c r="N134" s="74">
        <v>25</v>
      </c>
      <c r="O134" s="75">
        <f>Input!L29</f>
        <v>0</v>
      </c>
      <c r="P134" s="75">
        <f t="shared" si="90"/>
        <v>0</v>
      </c>
      <c r="Q134" s="75">
        <f t="shared" si="91"/>
        <v>0</v>
      </c>
      <c r="R134" s="75">
        <f t="shared" si="70"/>
        <v>0</v>
      </c>
      <c r="S134" s="160">
        <f t="shared" si="92"/>
        <v>0</v>
      </c>
      <c r="T134" s="77">
        <v>25</v>
      </c>
      <c r="U134" s="78">
        <f>Input!N29</f>
        <v>0</v>
      </c>
      <c r="V134" s="78">
        <f t="shared" si="93"/>
        <v>0</v>
      </c>
      <c r="W134" s="151">
        <f t="shared" si="94"/>
        <v>0</v>
      </c>
      <c r="X134" s="78">
        <f t="shared" si="71"/>
        <v>0</v>
      </c>
      <c r="Y134" s="162">
        <f t="shared" si="95"/>
        <v>0</v>
      </c>
      <c r="Z134" s="79">
        <v>25</v>
      </c>
      <c r="AA134" s="80">
        <f>Input!P29</f>
        <v>0</v>
      </c>
      <c r="AB134" s="80">
        <f t="shared" si="96"/>
        <v>0</v>
      </c>
      <c r="AC134" s="80">
        <f t="shared" si="97"/>
        <v>0</v>
      </c>
      <c r="AD134" s="80">
        <f t="shared" si="72"/>
        <v>0</v>
      </c>
      <c r="AE134" s="80">
        <f t="shared" si="98"/>
        <v>0</v>
      </c>
      <c r="AF134" s="552">
        <v>25</v>
      </c>
      <c r="AG134" s="553">
        <f>Input!R29</f>
        <v>0</v>
      </c>
      <c r="AH134" s="553">
        <f t="shared" si="102"/>
        <v>0</v>
      </c>
      <c r="AI134" s="553">
        <f t="shared" si="99"/>
        <v>0</v>
      </c>
      <c r="AJ134" s="553">
        <f t="shared" si="100"/>
        <v>0</v>
      </c>
      <c r="AK134" s="555">
        <f t="shared" si="101"/>
        <v>0</v>
      </c>
      <c r="AL134" s="157">
        <f t="shared" si="74"/>
        <v>0</v>
      </c>
      <c r="AM134" s="31" t="str">
        <f t="shared" si="75"/>
        <v/>
      </c>
      <c r="AN134" s="157">
        <f t="shared" si="76"/>
        <v>0</v>
      </c>
      <c r="AO134" s="31" t="str">
        <f t="shared" si="77"/>
        <v/>
      </c>
      <c r="AP134" s="157">
        <f t="shared" si="78"/>
        <v>0</v>
      </c>
      <c r="AQ134" s="31" t="str">
        <f t="shared" si="79"/>
        <v/>
      </c>
      <c r="AR134" s="157">
        <f t="shared" si="80"/>
        <v>0</v>
      </c>
      <c r="AS134" s="31" t="str">
        <f t="shared" si="81"/>
        <v/>
      </c>
      <c r="AT134" s="157">
        <f t="shared" si="82"/>
        <v>0</v>
      </c>
      <c r="AU134" s="31" t="str">
        <f t="shared" si="83"/>
        <v/>
      </c>
    </row>
    <row r="135" spans="2:47" x14ac:dyDescent="0.2">
      <c r="B135" s="16">
        <v>26</v>
      </c>
      <c r="C135" s="73">
        <f>Input!H30</f>
        <v>0</v>
      </c>
      <c r="D135" s="73">
        <f t="shared" si="84"/>
        <v>0</v>
      </c>
      <c r="E135" s="73">
        <f t="shared" si="85"/>
        <v>0</v>
      </c>
      <c r="F135" s="73">
        <f t="shared" si="68"/>
        <v>0</v>
      </c>
      <c r="G135" s="155">
        <f t="shared" si="86"/>
        <v>0</v>
      </c>
      <c r="H135" s="139">
        <v>26</v>
      </c>
      <c r="I135" s="140">
        <f>Input!J30</f>
        <v>0</v>
      </c>
      <c r="J135" s="140">
        <f t="shared" si="87"/>
        <v>0</v>
      </c>
      <c r="K135" s="140">
        <f t="shared" si="88"/>
        <v>0</v>
      </c>
      <c r="L135" s="140">
        <f t="shared" si="69"/>
        <v>0</v>
      </c>
      <c r="M135" s="158">
        <f t="shared" si="89"/>
        <v>0</v>
      </c>
      <c r="N135" s="74">
        <v>26</v>
      </c>
      <c r="O135" s="75">
        <f>Input!L30</f>
        <v>0</v>
      </c>
      <c r="P135" s="75">
        <f t="shared" si="90"/>
        <v>0</v>
      </c>
      <c r="Q135" s="75">
        <f t="shared" si="91"/>
        <v>0</v>
      </c>
      <c r="R135" s="75">
        <f t="shared" si="70"/>
        <v>0</v>
      </c>
      <c r="S135" s="160">
        <f t="shared" si="92"/>
        <v>0</v>
      </c>
      <c r="T135" s="77">
        <v>26</v>
      </c>
      <c r="U135" s="78">
        <f>Input!N30</f>
        <v>0</v>
      </c>
      <c r="V135" s="78">
        <f t="shared" si="93"/>
        <v>0</v>
      </c>
      <c r="W135" s="151">
        <f t="shared" si="94"/>
        <v>0</v>
      </c>
      <c r="X135" s="78">
        <f t="shared" si="71"/>
        <v>0</v>
      </c>
      <c r="Y135" s="162">
        <f t="shared" si="95"/>
        <v>0</v>
      </c>
      <c r="Z135" s="79">
        <v>26</v>
      </c>
      <c r="AA135" s="80">
        <f>Input!P30</f>
        <v>0</v>
      </c>
      <c r="AB135" s="80">
        <f t="shared" si="96"/>
        <v>0</v>
      </c>
      <c r="AC135" s="80">
        <f t="shared" si="97"/>
        <v>0</v>
      </c>
      <c r="AD135" s="80">
        <f t="shared" si="72"/>
        <v>0</v>
      </c>
      <c r="AE135" s="80">
        <f t="shared" si="98"/>
        <v>0</v>
      </c>
      <c r="AF135" s="552">
        <v>26</v>
      </c>
      <c r="AG135" s="553">
        <f>Input!R30</f>
        <v>0</v>
      </c>
      <c r="AH135" s="553">
        <f t="shared" si="102"/>
        <v>0</v>
      </c>
      <c r="AI135" s="553">
        <f t="shared" si="99"/>
        <v>0</v>
      </c>
      <c r="AJ135" s="553">
        <f t="shared" si="100"/>
        <v>0</v>
      </c>
      <c r="AK135" s="555">
        <f t="shared" si="101"/>
        <v>0</v>
      </c>
      <c r="AL135" s="157">
        <f t="shared" si="74"/>
        <v>0</v>
      </c>
      <c r="AM135" s="31" t="str">
        <f t="shared" si="75"/>
        <v/>
      </c>
      <c r="AN135" s="157">
        <f t="shared" si="76"/>
        <v>0</v>
      </c>
      <c r="AO135" s="31" t="str">
        <f t="shared" si="77"/>
        <v/>
      </c>
      <c r="AP135" s="157">
        <f t="shared" si="78"/>
        <v>0</v>
      </c>
      <c r="AQ135" s="31" t="str">
        <f t="shared" si="79"/>
        <v/>
      </c>
      <c r="AR135" s="157">
        <f t="shared" si="80"/>
        <v>0</v>
      </c>
      <c r="AS135" s="31" t="str">
        <f t="shared" si="81"/>
        <v/>
      </c>
      <c r="AT135" s="157">
        <f t="shared" si="82"/>
        <v>0</v>
      </c>
      <c r="AU135" s="31" t="str">
        <f t="shared" si="83"/>
        <v/>
      </c>
    </row>
    <row r="136" spans="2:47" x14ac:dyDescent="0.2">
      <c r="B136" s="16">
        <v>27</v>
      </c>
      <c r="C136" s="73">
        <f>Input!H31</f>
        <v>0</v>
      </c>
      <c r="D136" s="73">
        <f t="shared" si="84"/>
        <v>0</v>
      </c>
      <c r="E136" s="73">
        <f t="shared" si="85"/>
        <v>0</v>
      </c>
      <c r="F136" s="73">
        <f t="shared" si="68"/>
        <v>0</v>
      </c>
      <c r="G136" s="155">
        <f t="shared" si="86"/>
        <v>0</v>
      </c>
      <c r="H136" s="139">
        <v>27</v>
      </c>
      <c r="I136" s="140">
        <f>Input!J31</f>
        <v>0</v>
      </c>
      <c r="J136" s="140">
        <f t="shared" si="87"/>
        <v>0</v>
      </c>
      <c r="K136" s="140">
        <f t="shared" si="88"/>
        <v>0</v>
      </c>
      <c r="L136" s="140">
        <f t="shared" si="69"/>
        <v>0</v>
      </c>
      <c r="M136" s="158">
        <f t="shared" si="89"/>
        <v>0</v>
      </c>
      <c r="N136" s="74">
        <v>27</v>
      </c>
      <c r="O136" s="75">
        <f>Input!L31</f>
        <v>0</v>
      </c>
      <c r="P136" s="75">
        <f t="shared" si="90"/>
        <v>0</v>
      </c>
      <c r="Q136" s="75">
        <f t="shared" si="91"/>
        <v>0</v>
      </c>
      <c r="R136" s="75">
        <f t="shared" si="70"/>
        <v>0</v>
      </c>
      <c r="S136" s="160">
        <f t="shared" si="92"/>
        <v>0</v>
      </c>
      <c r="T136" s="77">
        <v>27</v>
      </c>
      <c r="U136" s="78">
        <f>Input!N31</f>
        <v>0</v>
      </c>
      <c r="V136" s="78">
        <f t="shared" si="93"/>
        <v>0</v>
      </c>
      <c r="W136" s="151">
        <f t="shared" si="94"/>
        <v>0</v>
      </c>
      <c r="X136" s="78">
        <f t="shared" si="71"/>
        <v>0</v>
      </c>
      <c r="Y136" s="162">
        <f t="shared" si="95"/>
        <v>0</v>
      </c>
      <c r="Z136" s="79">
        <v>27</v>
      </c>
      <c r="AA136" s="80">
        <f>Input!P31</f>
        <v>0</v>
      </c>
      <c r="AB136" s="80">
        <f t="shared" si="96"/>
        <v>0</v>
      </c>
      <c r="AC136" s="80">
        <f t="shared" si="97"/>
        <v>0</v>
      </c>
      <c r="AD136" s="80">
        <f t="shared" si="72"/>
        <v>0</v>
      </c>
      <c r="AE136" s="80">
        <f t="shared" si="98"/>
        <v>0</v>
      </c>
      <c r="AF136" s="552">
        <v>27</v>
      </c>
      <c r="AG136" s="553">
        <f>Input!R31</f>
        <v>0</v>
      </c>
      <c r="AH136" s="553">
        <f t="shared" si="102"/>
        <v>0</v>
      </c>
      <c r="AI136" s="553">
        <f t="shared" si="99"/>
        <v>0</v>
      </c>
      <c r="AJ136" s="553">
        <f t="shared" si="100"/>
        <v>0</v>
      </c>
      <c r="AK136" s="555">
        <f t="shared" si="101"/>
        <v>0</v>
      </c>
      <c r="AL136" s="157">
        <f t="shared" si="74"/>
        <v>0</v>
      </c>
      <c r="AM136" s="31" t="str">
        <f t="shared" si="75"/>
        <v/>
      </c>
      <c r="AN136" s="157">
        <f t="shared" si="76"/>
        <v>0</v>
      </c>
      <c r="AO136" s="31" t="str">
        <f t="shared" si="77"/>
        <v/>
      </c>
      <c r="AP136" s="157">
        <f t="shared" si="78"/>
        <v>0</v>
      </c>
      <c r="AQ136" s="31" t="str">
        <f t="shared" si="79"/>
        <v/>
      </c>
      <c r="AR136" s="157">
        <f t="shared" si="80"/>
        <v>0</v>
      </c>
      <c r="AS136" s="31" t="str">
        <f t="shared" si="81"/>
        <v/>
      </c>
      <c r="AT136" s="157">
        <f t="shared" si="82"/>
        <v>0</v>
      </c>
      <c r="AU136" s="31" t="str">
        <f t="shared" si="83"/>
        <v/>
      </c>
    </row>
    <row r="137" spans="2:47" x14ac:dyDescent="0.2">
      <c r="B137" s="16">
        <v>28</v>
      </c>
      <c r="C137" s="73">
        <f>Input!H32</f>
        <v>0</v>
      </c>
      <c r="D137" s="73">
        <f t="shared" si="84"/>
        <v>0</v>
      </c>
      <c r="E137" s="73">
        <f t="shared" si="85"/>
        <v>0</v>
      </c>
      <c r="F137" s="73">
        <f t="shared" si="68"/>
        <v>0</v>
      </c>
      <c r="G137" s="155">
        <f t="shared" si="86"/>
        <v>0</v>
      </c>
      <c r="H137" s="139">
        <v>28</v>
      </c>
      <c r="I137" s="140">
        <f>Input!J32</f>
        <v>0</v>
      </c>
      <c r="J137" s="140">
        <f t="shared" si="87"/>
        <v>0</v>
      </c>
      <c r="K137" s="140">
        <f t="shared" si="88"/>
        <v>0</v>
      </c>
      <c r="L137" s="140">
        <f t="shared" si="69"/>
        <v>0</v>
      </c>
      <c r="M137" s="158">
        <f t="shared" si="89"/>
        <v>0</v>
      </c>
      <c r="N137" s="74">
        <v>28</v>
      </c>
      <c r="O137" s="75">
        <f>Input!L32</f>
        <v>0</v>
      </c>
      <c r="P137" s="75">
        <f t="shared" si="90"/>
        <v>0</v>
      </c>
      <c r="Q137" s="75">
        <f t="shared" si="91"/>
        <v>0</v>
      </c>
      <c r="R137" s="75">
        <f t="shared" si="70"/>
        <v>0</v>
      </c>
      <c r="S137" s="160">
        <f t="shared" si="92"/>
        <v>0</v>
      </c>
      <c r="T137" s="77">
        <v>28</v>
      </c>
      <c r="U137" s="78">
        <f>Input!N32</f>
        <v>0</v>
      </c>
      <c r="V137" s="78">
        <f t="shared" si="93"/>
        <v>0</v>
      </c>
      <c r="W137" s="151">
        <f t="shared" si="94"/>
        <v>0</v>
      </c>
      <c r="X137" s="78">
        <f t="shared" si="71"/>
        <v>0</v>
      </c>
      <c r="Y137" s="162">
        <f t="shared" si="95"/>
        <v>0</v>
      </c>
      <c r="Z137" s="79">
        <v>28</v>
      </c>
      <c r="AA137" s="80">
        <f>Input!P32</f>
        <v>0</v>
      </c>
      <c r="AB137" s="80">
        <f t="shared" si="96"/>
        <v>0</v>
      </c>
      <c r="AC137" s="80">
        <f t="shared" si="97"/>
        <v>0</v>
      </c>
      <c r="AD137" s="80">
        <f t="shared" si="72"/>
        <v>0</v>
      </c>
      <c r="AE137" s="80">
        <f t="shared" si="98"/>
        <v>0</v>
      </c>
      <c r="AF137" s="552">
        <v>28</v>
      </c>
      <c r="AG137" s="553">
        <f>Input!R32</f>
        <v>0</v>
      </c>
      <c r="AH137" s="553">
        <f t="shared" si="102"/>
        <v>0</v>
      </c>
      <c r="AI137" s="553">
        <f t="shared" si="99"/>
        <v>0</v>
      </c>
      <c r="AJ137" s="553">
        <f t="shared" si="100"/>
        <v>0</v>
      </c>
      <c r="AK137" s="555">
        <f t="shared" si="101"/>
        <v>0</v>
      </c>
      <c r="AL137" s="157">
        <f t="shared" si="74"/>
        <v>0</v>
      </c>
      <c r="AM137" s="31" t="str">
        <f t="shared" si="75"/>
        <v/>
      </c>
      <c r="AN137" s="157">
        <f t="shared" si="76"/>
        <v>0</v>
      </c>
      <c r="AO137" s="31" t="str">
        <f t="shared" si="77"/>
        <v/>
      </c>
      <c r="AP137" s="157">
        <f t="shared" si="78"/>
        <v>0</v>
      </c>
      <c r="AQ137" s="31" t="str">
        <f t="shared" si="79"/>
        <v/>
      </c>
      <c r="AR137" s="157">
        <f t="shared" si="80"/>
        <v>0</v>
      </c>
      <c r="AS137" s="31" t="str">
        <f t="shared" si="81"/>
        <v/>
      </c>
      <c r="AT137" s="157">
        <f t="shared" si="82"/>
        <v>0</v>
      </c>
      <c r="AU137" s="31" t="str">
        <f t="shared" si="83"/>
        <v/>
      </c>
    </row>
    <row r="138" spans="2:47" x14ac:dyDescent="0.2">
      <c r="B138" s="16">
        <v>29</v>
      </c>
      <c r="C138" s="73">
        <f>Input!H33</f>
        <v>0</v>
      </c>
      <c r="D138" s="73">
        <f t="shared" si="84"/>
        <v>0</v>
      </c>
      <c r="E138" s="73">
        <f t="shared" si="85"/>
        <v>0</v>
      </c>
      <c r="F138" s="73">
        <f t="shared" si="68"/>
        <v>0</v>
      </c>
      <c r="G138" s="155">
        <f t="shared" si="86"/>
        <v>0</v>
      </c>
      <c r="H138" s="139">
        <v>29</v>
      </c>
      <c r="I138" s="140">
        <f>Input!J33</f>
        <v>0</v>
      </c>
      <c r="J138" s="140">
        <f t="shared" si="87"/>
        <v>0</v>
      </c>
      <c r="K138" s="140">
        <f t="shared" si="88"/>
        <v>0</v>
      </c>
      <c r="L138" s="140">
        <f t="shared" si="69"/>
        <v>0</v>
      </c>
      <c r="M138" s="158">
        <f t="shared" si="89"/>
        <v>0</v>
      </c>
      <c r="N138" s="74">
        <v>29</v>
      </c>
      <c r="O138" s="75">
        <f>Input!L33</f>
        <v>0</v>
      </c>
      <c r="P138" s="75">
        <f t="shared" si="90"/>
        <v>0</v>
      </c>
      <c r="Q138" s="75">
        <f t="shared" si="91"/>
        <v>0</v>
      </c>
      <c r="R138" s="75">
        <f t="shared" si="70"/>
        <v>0</v>
      </c>
      <c r="S138" s="160">
        <f t="shared" si="92"/>
        <v>0</v>
      </c>
      <c r="T138" s="77">
        <v>29</v>
      </c>
      <c r="U138" s="78">
        <f>Input!N33</f>
        <v>0</v>
      </c>
      <c r="V138" s="78">
        <f t="shared" si="93"/>
        <v>0</v>
      </c>
      <c r="W138" s="151">
        <f t="shared" si="94"/>
        <v>0</v>
      </c>
      <c r="X138" s="78">
        <f t="shared" si="71"/>
        <v>0</v>
      </c>
      <c r="Y138" s="162">
        <f t="shared" si="95"/>
        <v>0</v>
      </c>
      <c r="Z138" s="79">
        <v>29</v>
      </c>
      <c r="AA138" s="80">
        <f>Input!P33</f>
        <v>0</v>
      </c>
      <c r="AB138" s="80">
        <f t="shared" si="96"/>
        <v>0</v>
      </c>
      <c r="AC138" s="80">
        <f t="shared" si="97"/>
        <v>0</v>
      </c>
      <c r="AD138" s="80">
        <f t="shared" si="72"/>
        <v>0</v>
      </c>
      <c r="AE138" s="80">
        <f t="shared" si="98"/>
        <v>0</v>
      </c>
      <c r="AF138" s="552">
        <v>29</v>
      </c>
      <c r="AG138" s="553">
        <f>Input!R33</f>
        <v>0</v>
      </c>
      <c r="AH138" s="553">
        <f t="shared" si="102"/>
        <v>0</v>
      </c>
      <c r="AI138" s="553">
        <f t="shared" si="99"/>
        <v>0</v>
      </c>
      <c r="AJ138" s="553">
        <f t="shared" si="100"/>
        <v>0</v>
      </c>
      <c r="AK138" s="555">
        <f t="shared" si="101"/>
        <v>0</v>
      </c>
      <c r="AL138" s="157">
        <f t="shared" si="74"/>
        <v>0</v>
      </c>
      <c r="AM138" s="31" t="str">
        <f t="shared" si="75"/>
        <v/>
      </c>
      <c r="AN138" s="157">
        <f t="shared" si="76"/>
        <v>0</v>
      </c>
      <c r="AO138" s="31" t="str">
        <f t="shared" si="77"/>
        <v/>
      </c>
      <c r="AP138" s="157">
        <f t="shared" si="78"/>
        <v>0</v>
      </c>
      <c r="AQ138" s="31" t="str">
        <f t="shared" si="79"/>
        <v/>
      </c>
      <c r="AR138" s="157">
        <f t="shared" si="80"/>
        <v>0</v>
      </c>
      <c r="AS138" s="31" t="str">
        <f t="shared" si="81"/>
        <v/>
      </c>
      <c r="AT138" s="157">
        <f t="shared" si="82"/>
        <v>0</v>
      </c>
      <c r="AU138" s="31" t="str">
        <f t="shared" si="83"/>
        <v/>
      </c>
    </row>
    <row r="139" spans="2:47" x14ac:dyDescent="0.2">
      <c r="B139" s="16">
        <v>30</v>
      </c>
      <c r="C139" s="73">
        <f>Input!H34</f>
        <v>0</v>
      </c>
      <c r="D139" s="73">
        <f t="shared" si="84"/>
        <v>0</v>
      </c>
      <c r="E139" s="73">
        <f t="shared" si="85"/>
        <v>0</v>
      </c>
      <c r="F139" s="73">
        <f t="shared" si="68"/>
        <v>0</v>
      </c>
      <c r="G139" s="155">
        <f t="shared" si="86"/>
        <v>0</v>
      </c>
      <c r="H139" s="139">
        <v>30</v>
      </c>
      <c r="I139" s="140">
        <f>Input!J34</f>
        <v>0</v>
      </c>
      <c r="J139" s="140">
        <f t="shared" si="87"/>
        <v>0</v>
      </c>
      <c r="K139" s="140">
        <f t="shared" si="88"/>
        <v>0</v>
      </c>
      <c r="L139" s="140">
        <f t="shared" si="69"/>
        <v>0</v>
      </c>
      <c r="M139" s="158">
        <f t="shared" si="89"/>
        <v>0</v>
      </c>
      <c r="N139" s="74">
        <v>30</v>
      </c>
      <c r="O139" s="75">
        <f>Input!L34</f>
        <v>0</v>
      </c>
      <c r="P139" s="75">
        <f t="shared" si="90"/>
        <v>0</v>
      </c>
      <c r="Q139" s="75">
        <f t="shared" si="91"/>
        <v>0</v>
      </c>
      <c r="R139" s="75">
        <f t="shared" si="70"/>
        <v>0</v>
      </c>
      <c r="S139" s="160">
        <f t="shared" si="92"/>
        <v>0</v>
      </c>
      <c r="T139" s="77">
        <v>30</v>
      </c>
      <c r="U139" s="78">
        <f>Input!N34</f>
        <v>0</v>
      </c>
      <c r="V139" s="78">
        <f t="shared" si="93"/>
        <v>0</v>
      </c>
      <c r="W139" s="151">
        <f t="shared" si="94"/>
        <v>0</v>
      </c>
      <c r="X139" s="78">
        <f t="shared" si="71"/>
        <v>0</v>
      </c>
      <c r="Y139" s="162">
        <f t="shared" si="95"/>
        <v>0</v>
      </c>
      <c r="Z139" s="79">
        <v>30</v>
      </c>
      <c r="AA139" s="80">
        <f>Input!P34</f>
        <v>0</v>
      </c>
      <c r="AB139" s="80">
        <f t="shared" si="96"/>
        <v>0</v>
      </c>
      <c r="AC139" s="80">
        <f t="shared" si="97"/>
        <v>0</v>
      </c>
      <c r="AD139" s="80">
        <f t="shared" si="72"/>
        <v>0</v>
      </c>
      <c r="AE139" s="80">
        <f t="shared" si="98"/>
        <v>0</v>
      </c>
      <c r="AF139" s="552">
        <v>30</v>
      </c>
      <c r="AG139" s="553">
        <f>Input!R34</f>
        <v>0</v>
      </c>
      <c r="AH139" s="553">
        <f t="shared" si="102"/>
        <v>0</v>
      </c>
      <c r="AI139" s="553">
        <f t="shared" si="99"/>
        <v>0</v>
      </c>
      <c r="AJ139" s="553">
        <f t="shared" si="100"/>
        <v>0</v>
      </c>
      <c r="AK139" s="555">
        <f t="shared" si="101"/>
        <v>0</v>
      </c>
      <c r="AL139" s="157">
        <f t="shared" si="74"/>
        <v>0</v>
      </c>
      <c r="AM139" s="31" t="str">
        <f t="shared" si="75"/>
        <v/>
      </c>
      <c r="AN139" s="157">
        <f t="shared" si="76"/>
        <v>0</v>
      </c>
      <c r="AO139" s="31" t="str">
        <f t="shared" si="77"/>
        <v/>
      </c>
      <c r="AP139" s="157">
        <f t="shared" si="78"/>
        <v>0</v>
      </c>
      <c r="AQ139" s="31" t="str">
        <f t="shared" si="79"/>
        <v/>
      </c>
      <c r="AR139" s="157">
        <f t="shared" si="80"/>
        <v>0</v>
      </c>
      <c r="AS139" s="31" t="str">
        <f t="shared" si="81"/>
        <v/>
      </c>
      <c r="AT139" s="157">
        <f t="shared" si="82"/>
        <v>0</v>
      </c>
      <c r="AU139" s="31" t="str">
        <f t="shared" si="83"/>
        <v/>
      </c>
    </row>
    <row r="140" spans="2:47" x14ac:dyDescent="0.2">
      <c r="B140" s="16">
        <v>31</v>
      </c>
      <c r="C140" s="73">
        <f>Input!H35</f>
        <v>0</v>
      </c>
      <c r="D140" s="73">
        <f t="shared" si="84"/>
        <v>0</v>
      </c>
      <c r="E140" s="73">
        <f t="shared" si="85"/>
        <v>0</v>
      </c>
      <c r="F140" s="73">
        <f t="shared" si="68"/>
        <v>0</v>
      </c>
      <c r="G140" s="155">
        <f t="shared" si="86"/>
        <v>0</v>
      </c>
      <c r="H140" s="139">
        <v>31</v>
      </c>
      <c r="I140" s="140">
        <f>Input!J35</f>
        <v>0</v>
      </c>
      <c r="J140" s="140">
        <f t="shared" si="87"/>
        <v>0</v>
      </c>
      <c r="K140" s="140">
        <f t="shared" si="88"/>
        <v>0</v>
      </c>
      <c r="L140" s="140">
        <f t="shared" si="69"/>
        <v>0</v>
      </c>
      <c r="M140" s="158">
        <f t="shared" si="89"/>
        <v>0</v>
      </c>
      <c r="N140" s="74">
        <v>31</v>
      </c>
      <c r="O140" s="75">
        <f>Input!L35</f>
        <v>0</v>
      </c>
      <c r="P140" s="75">
        <f t="shared" si="90"/>
        <v>0</v>
      </c>
      <c r="Q140" s="75">
        <f t="shared" si="91"/>
        <v>0</v>
      </c>
      <c r="R140" s="75">
        <f t="shared" si="70"/>
        <v>0</v>
      </c>
      <c r="S140" s="160">
        <f t="shared" si="92"/>
        <v>0</v>
      </c>
      <c r="T140" s="77">
        <v>31</v>
      </c>
      <c r="U140" s="78">
        <f>Input!N35</f>
        <v>0</v>
      </c>
      <c r="V140" s="78">
        <f t="shared" si="93"/>
        <v>0</v>
      </c>
      <c r="W140" s="151">
        <f t="shared" si="94"/>
        <v>0</v>
      </c>
      <c r="X140" s="78">
        <f t="shared" si="71"/>
        <v>0</v>
      </c>
      <c r="Y140" s="162">
        <f t="shared" si="95"/>
        <v>0</v>
      </c>
      <c r="Z140" s="79">
        <v>31</v>
      </c>
      <c r="AA140" s="80">
        <f>Input!P35</f>
        <v>0</v>
      </c>
      <c r="AB140" s="80">
        <f t="shared" si="96"/>
        <v>0</v>
      </c>
      <c r="AC140" s="80">
        <f t="shared" si="97"/>
        <v>0</v>
      </c>
      <c r="AD140" s="80">
        <f t="shared" si="72"/>
        <v>0</v>
      </c>
      <c r="AE140" s="80">
        <f t="shared" si="98"/>
        <v>0</v>
      </c>
      <c r="AF140" s="552">
        <v>31</v>
      </c>
      <c r="AG140" s="553">
        <f>Input!R35</f>
        <v>0</v>
      </c>
      <c r="AH140" s="553">
        <f t="shared" si="102"/>
        <v>0</v>
      </c>
      <c r="AI140" s="553">
        <f t="shared" si="99"/>
        <v>0</v>
      </c>
      <c r="AJ140" s="553">
        <f t="shared" si="100"/>
        <v>0</v>
      </c>
      <c r="AK140" s="555">
        <f t="shared" si="101"/>
        <v>0</v>
      </c>
      <c r="AL140" s="157">
        <f t="shared" si="74"/>
        <v>0</v>
      </c>
      <c r="AM140" s="31" t="str">
        <f t="shared" si="75"/>
        <v/>
      </c>
      <c r="AN140" s="157">
        <f t="shared" si="76"/>
        <v>0</v>
      </c>
      <c r="AO140" s="31" t="str">
        <f t="shared" si="77"/>
        <v/>
      </c>
      <c r="AP140" s="157">
        <f t="shared" si="78"/>
        <v>0</v>
      </c>
      <c r="AQ140" s="31" t="str">
        <f t="shared" si="79"/>
        <v/>
      </c>
      <c r="AR140" s="157">
        <f t="shared" si="80"/>
        <v>0</v>
      </c>
      <c r="AS140" s="31" t="str">
        <f t="shared" si="81"/>
        <v/>
      </c>
      <c r="AT140" s="157">
        <f t="shared" si="82"/>
        <v>0</v>
      </c>
      <c r="AU140" s="31" t="str">
        <f t="shared" si="83"/>
        <v/>
      </c>
    </row>
    <row r="141" spans="2:47" x14ac:dyDescent="0.2">
      <c r="B141" s="16">
        <v>32</v>
      </c>
      <c r="C141" s="73">
        <f>Input!H36</f>
        <v>0</v>
      </c>
      <c r="D141" s="73">
        <f t="shared" si="84"/>
        <v>0</v>
      </c>
      <c r="E141" s="73">
        <f t="shared" si="85"/>
        <v>0</v>
      </c>
      <c r="F141" s="73">
        <f t="shared" si="68"/>
        <v>0</v>
      </c>
      <c r="G141" s="155">
        <f t="shared" si="86"/>
        <v>0</v>
      </c>
      <c r="H141" s="139">
        <v>32</v>
      </c>
      <c r="I141" s="140">
        <f>Input!J36</f>
        <v>0</v>
      </c>
      <c r="J141" s="140">
        <f t="shared" si="87"/>
        <v>0</v>
      </c>
      <c r="K141" s="140">
        <f t="shared" si="88"/>
        <v>0</v>
      </c>
      <c r="L141" s="140">
        <f t="shared" si="69"/>
        <v>0</v>
      </c>
      <c r="M141" s="158">
        <f t="shared" si="89"/>
        <v>0</v>
      </c>
      <c r="N141" s="74">
        <v>32</v>
      </c>
      <c r="O141" s="75">
        <f>Input!L36</f>
        <v>0</v>
      </c>
      <c r="P141" s="75">
        <f t="shared" si="90"/>
        <v>0</v>
      </c>
      <c r="Q141" s="75">
        <f t="shared" si="91"/>
        <v>0</v>
      </c>
      <c r="R141" s="75">
        <f t="shared" si="70"/>
        <v>0</v>
      </c>
      <c r="S141" s="160">
        <f t="shared" si="92"/>
        <v>0</v>
      </c>
      <c r="T141" s="77">
        <v>32</v>
      </c>
      <c r="U141" s="78">
        <f>Input!N36</f>
        <v>0</v>
      </c>
      <c r="V141" s="78">
        <f t="shared" si="93"/>
        <v>0</v>
      </c>
      <c r="W141" s="151">
        <f t="shared" si="94"/>
        <v>0</v>
      </c>
      <c r="X141" s="78">
        <f t="shared" si="71"/>
        <v>0</v>
      </c>
      <c r="Y141" s="162">
        <f t="shared" si="95"/>
        <v>0</v>
      </c>
      <c r="Z141" s="79">
        <v>32</v>
      </c>
      <c r="AA141" s="80">
        <f>Input!P36</f>
        <v>0</v>
      </c>
      <c r="AB141" s="80">
        <f t="shared" si="96"/>
        <v>0</v>
      </c>
      <c r="AC141" s="80">
        <f t="shared" si="97"/>
        <v>0</v>
      </c>
      <c r="AD141" s="80">
        <f t="shared" si="72"/>
        <v>0</v>
      </c>
      <c r="AE141" s="80">
        <f t="shared" si="98"/>
        <v>0</v>
      </c>
      <c r="AF141" s="552">
        <v>32</v>
      </c>
      <c r="AG141" s="553">
        <f>Input!R36</f>
        <v>0</v>
      </c>
      <c r="AH141" s="553">
        <f t="shared" si="102"/>
        <v>0</v>
      </c>
      <c r="AI141" s="553">
        <f t="shared" si="99"/>
        <v>0</v>
      </c>
      <c r="AJ141" s="553">
        <f t="shared" si="100"/>
        <v>0</v>
      </c>
      <c r="AK141" s="555">
        <f t="shared" si="101"/>
        <v>0</v>
      </c>
      <c r="AL141" s="157">
        <f t="shared" si="74"/>
        <v>0</v>
      </c>
      <c r="AM141" s="31" t="str">
        <f t="shared" si="75"/>
        <v/>
      </c>
      <c r="AN141" s="157">
        <f t="shared" si="76"/>
        <v>0</v>
      </c>
      <c r="AO141" s="31" t="str">
        <f t="shared" si="77"/>
        <v/>
      </c>
      <c r="AP141" s="157">
        <f t="shared" si="78"/>
        <v>0</v>
      </c>
      <c r="AQ141" s="31" t="str">
        <f t="shared" si="79"/>
        <v/>
      </c>
      <c r="AR141" s="157">
        <f t="shared" si="80"/>
        <v>0</v>
      </c>
      <c r="AS141" s="31" t="str">
        <f t="shared" si="81"/>
        <v/>
      </c>
      <c r="AT141" s="157">
        <f t="shared" si="82"/>
        <v>0</v>
      </c>
      <c r="AU141" s="31" t="str">
        <f t="shared" si="83"/>
        <v/>
      </c>
    </row>
    <row r="142" spans="2:47" x14ac:dyDescent="0.2">
      <c r="B142" s="16">
        <v>33</v>
      </c>
      <c r="C142" s="73">
        <f>Input!H37</f>
        <v>0</v>
      </c>
      <c r="D142" s="73">
        <f t="shared" si="84"/>
        <v>0</v>
      </c>
      <c r="E142" s="73">
        <f t="shared" si="85"/>
        <v>0</v>
      </c>
      <c r="F142" s="73">
        <f t="shared" si="68"/>
        <v>0</v>
      </c>
      <c r="G142" s="155">
        <f t="shared" si="86"/>
        <v>0</v>
      </c>
      <c r="H142" s="139">
        <v>33</v>
      </c>
      <c r="I142" s="140">
        <f>Input!J37</f>
        <v>0</v>
      </c>
      <c r="J142" s="140">
        <f t="shared" si="87"/>
        <v>0</v>
      </c>
      <c r="K142" s="140">
        <f t="shared" si="88"/>
        <v>0</v>
      </c>
      <c r="L142" s="140">
        <f t="shared" si="69"/>
        <v>0</v>
      </c>
      <c r="M142" s="158">
        <f t="shared" si="89"/>
        <v>0</v>
      </c>
      <c r="N142" s="74">
        <v>33</v>
      </c>
      <c r="O142" s="75">
        <f>Input!L37</f>
        <v>0</v>
      </c>
      <c r="P142" s="75">
        <f t="shared" si="90"/>
        <v>0</v>
      </c>
      <c r="Q142" s="75">
        <f t="shared" si="91"/>
        <v>0</v>
      </c>
      <c r="R142" s="75">
        <f t="shared" si="70"/>
        <v>0</v>
      </c>
      <c r="S142" s="160">
        <f t="shared" si="92"/>
        <v>0</v>
      </c>
      <c r="T142" s="77">
        <v>33</v>
      </c>
      <c r="U142" s="78">
        <f>Input!N37</f>
        <v>0</v>
      </c>
      <c r="V142" s="78">
        <f t="shared" si="93"/>
        <v>0</v>
      </c>
      <c r="W142" s="151">
        <f t="shared" si="94"/>
        <v>0</v>
      </c>
      <c r="X142" s="78">
        <f t="shared" si="71"/>
        <v>0</v>
      </c>
      <c r="Y142" s="162">
        <f t="shared" si="95"/>
        <v>0</v>
      </c>
      <c r="Z142" s="79">
        <v>33</v>
      </c>
      <c r="AA142" s="80">
        <f>Input!P37</f>
        <v>0</v>
      </c>
      <c r="AB142" s="80">
        <f t="shared" si="96"/>
        <v>0</v>
      </c>
      <c r="AC142" s="80">
        <f t="shared" si="97"/>
        <v>0</v>
      </c>
      <c r="AD142" s="80">
        <f t="shared" si="72"/>
        <v>0</v>
      </c>
      <c r="AE142" s="80">
        <f t="shared" si="98"/>
        <v>0</v>
      </c>
      <c r="AF142" s="552">
        <v>33</v>
      </c>
      <c r="AG142" s="553">
        <f>Input!R37</f>
        <v>0</v>
      </c>
      <c r="AH142" s="553">
        <f t="shared" si="102"/>
        <v>0</v>
      </c>
      <c r="AI142" s="553">
        <f t="shared" si="99"/>
        <v>0</v>
      </c>
      <c r="AJ142" s="553">
        <f t="shared" si="100"/>
        <v>0</v>
      </c>
      <c r="AK142" s="555">
        <f t="shared" si="101"/>
        <v>0</v>
      </c>
      <c r="AL142" s="157">
        <f t="shared" si="74"/>
        <v>0</v>
      </c>
      <c r="AM142" s="31" t="str">
        <f t="shared" si="75"/>
        <v/>
      </c>
      <c r="AN142" s="157">
        <f t="shared" si="76"/>
        <v>0</v>
      </c>
      <c r="AO142" s="31" t="str">
        <f t="shared" si="77"/>
        <v/>
      </c>
      <c r="AP142" s="157">
        <f t="shared" si="78"/>
        <v>0</v>
      </c>
      <c r="AQ142" s="31" t="str">
        <f t="shared" si="79"/>
        <v/>
      </c>
      <c r="AR142" s="157">
        <f t="shared" si="80"/>
        <v>0</v>
      </c>
      <c r="AS142" s="31" t="str">
        <f t="shared" si="81"/>
        <v/>
      </c>
      <c r="AT142" s="157">
        <f t="shared" si="82"/>
        <v>0</v>
      </c>
      <c r="AU142" s="31" t="str">
        <f t="shared" si="83"/>
        <v/>
      </c>
    </row>
    <row r="143" spans="2:47" x14ac:dyDescent="0.2">
      <c r="B143" s="16">
        <v>34</v>
      </c>
      <c r="C143" s="73">
        <f>Input!H38</f>
        <v>0</v>
      </c>
      <c r="D143" s="73">
        <f t="shared" si="84"/>
        <v>0</v>
      </c>
      <c r="E143" s="73">
        <f t="shared" si="85"/>
        <v>0</v>
      </c>
      <c r="F143" s="73">
        <f t="shared" si="68"/>
        <v>0</v>
      </c>
      <c r="G143" s="155">
        <f t="shared" si="86"/>
        <v>0</v>
      </c>
      <c r="H143" s="139">
        <v>34</v>
      </c>
      <c r="I143" s="140">
        <f>Input!J38</f>
        <v>0</v>
      </c>
      <c r="J143" s="140">
        <f t="shared" si="87"/>
        <v>0</v>
      </c>
      <c r="K143" s="140">
        <f t="shared" si="88"/>
        <v>0</v>
      </c>
      <c r="L143" s="140">
        <f t="shared" si="69"/>
        <v>0</v>
      </c>
      <c r="M143" s="158">
        <f t="shared" si="89"/>
        <v>0</v>
      </c>
      <c r="N143" s="74">
        <v>34</v>
      </c>
      <c r="O143" s="75">
        <f>Input!L38</f>
        <v>0</v>
      </c>
      <c r="P143" s="75">
        <f t="shared" si="90"/>
        <v>0</v>
      </c>
      <c r="Q143" s="75">
        <f t="shared" si="91"/>
        <v>0</v>
      </c>
      <c r="R143" s="75">
        <f t="shared" si="70"/>
        <v>0</v>
      </c>
      <c r="S143" s="160">
        <f t="shared" si="92"/>
        <v>0</v>
      </c>
      <c r="T143" s="77">
        <v>34</v>
      </c>
      <c r="U143" s="78">
        <f>Input!N38</f>
        <v>0</v>
      </c>
      <c r="V143" s="78">
        <f t="shared" si="93"/>
        <v>0</v>
      </c>
      <c r="W143" s="151">
        <f t="shared" si="94"/>
        <v>0</v>
      </c>
      <c r="X143" s="78">
        <f t="shared" si="71"/>
        <v>0</v>
      </c>
      <c r="Y143" s="162">
        <f t="shared" si="95"/>
        <v>0</v>
      </c>
      <c r="Z143" s="79">
        <v>34</v>
      </c>
      <c r="AA143" s="80">
        <f>Input!P38</f>
        <v>0</v>
      </c>
      <c r="AB143" s="80">
        <f t="shared" si="96"/>
        <v>0</v>
      </c>
      <c r="AC143" s="80">
        <f t="shared" si="97"/>
        <v>0</v>
      </c>
      <c r="AD143" s="80">
        <f t="shared" si="72"/>
        <v>0</v>
      </c>
      <c r="AE143" s="80">
        <f t="shared" si="98"/>
        <v>0</v>
      </c>
      <c r="AF143" s="552">
        <v>34</v>
      </c>
      <c r="AG143" s="553">
        <f>Input!R38</f>
        <v>0</v>
      </c>
      <c r="AH143" s="553">
        <f t="shared" si="102"/>
        <v>0</v>
      </c>
      <c r="AI143" s="553">
        <f t="shared" si="99"/>
        <v>0</v>
      </c>
      <c r="AJ143" s="553">
        <f t="shared" si="100"/>
        <v>0</v>
      </c>
      <c r="AK143" s="555">
        <f t="shared" si="101"/>
        <v>0</v>
      </c>
      <c r="AL143" s="157">
        <f t="shared" si="74"/>
        <v>0</v>
      </c>
      <c r="AM143" s="31" t="str">
        <f t="shared" si="75"/>
        <v/>
      </c>
      <c r="AN143" s="157">
        <f t="shared" si="76"/>
        <v>0</v>
      </c>
      <c r="AO143" s="31" t="str">
        <f t="shared" si="77"/>
        <v/>
      </c>
      <c r="AP143" s="157">
        <f t="shared" si="78"/>
        <v>0</v>
      </c>
      <c r="AQ143" s="31" t="str">
        <f t="shared" si="79"/>
        <v/>
      </c>
      <c r="AR143" s="157">
        <f t="shared" si="80"/>
        <v>0</v>
      </c>
      <c r="AS143" s="31" t="str">
        <f t="shared" si="81"/>
        <v/>
      </c>
      <c r="AT143" s="157">
        <f t="shared" si="82"/>
        <v>0</v>
      </c>
      <c r="AU143" s="31" t="str">
        <f t="shared" si="83"/>
        <v/>
      </c>
    </row>
    <row r="144" spans="2:47" x14ac:dyDescent="0.2">
      <c r="B144" s="16">
        <v>35</v>
      </c>
      <c r="C144" s="73">
        <f>Input!H39</f>
        <v>0</v>
      </c>
      <c r="D144" s="73">
        <f t="shared" si="84"/>
        <v>0</v>
      </c>
      <c r="E144" s="73">
        <f t="shared" si="85"/>
        <v>0</v>
      </c>
      <c r="F144" s="73">
        <f t="shared" si="68"/>
        <v>0</v>
      </c>
      <c r="G144" s="155">
        <f t="shared" si="86"/>
        <v>0</v>
      </c>
      <c r="H144" s="139">
        <v>35</v>
      </c>
      <c r="I144" s="140">
        <f>Input!J39</f>
        <v>0</v>
      </c>
      <c r="J144" s="140">
        <f t="shared" si="87"/>
        <v>0</v>
      </c>
      <c r="K144" s="140">
        <f t="shared" si="88"/>
        <v>0</v>
      </c>
      <c r="L144" s="140">
        <f t="shared" si="69"/>
        <v>0</v>
      </c>
      <c r="M144" s="158">
        <f t="shared" si="89"/>
        <v>0</v>
      </c>
      <c r="N144" s="74">
        <v>35</v>
      </c>
      <c r="O144" s="75">
        <f>Input!L39</f>
        <v>0</v>
      </c>
      <c r="P144" s="75">
        <f t="shared" si="90"/>
        <v>0</v>
      </c>
      <c r="Q144" s="75">
        <f t="shared" si="91"/>
        <v>0</v>
      </c>
      <c r="R144" s="75">
        <f t="shared" si="70"/>
        <v>0</v>
      </c>
      <c r="S144" s="160">
        <f t="shared" si="92"/>
        <v>0</v>
      </c>
      <c r="T144" s="77">
        <v>35</v>
      </c>
      <c r="U144" s="78">
        <f>Input!N39</f>
        <v>0</v>
      </c>
      <c r="V144" s="78">
        <f t="shared" si="93"/>
        <v>0</v>
      </c>
      <c r="W144" s="151">
        <f t="shared" si="94"/>
        <v>0</v>
      </c>
      <c r="X144" s="78">
        <f t="shared" si="71"/>
        <v>0</v>
      </c>
      <c r="Y144" s="162">
        <f t="shared" si="95"/>
        <v>0</v>
      </c>
      <c r="Z144" s="79">
        <v>35</v>
      </c>
      <c r="AA144" s="80">
        <f>Input!P39</f>
        <v>0</v>
      </c>
      <c r="AB144" s="80">
        <f t="shared" si="96"/>
        <v>0</v>
      </c>
      <c r="AC144" s="80">
        <f t="shared" si="97"/>
        <v>0</v>
      </c>
      <c r="AD144" s="80">
        <f t="shared" si="72"/>
        <v>0</v>
      </c>
      <c r="AE144" s="80">
        <f t="shared" si="98"/>
        <v>0</v>
      </c>
      <c r="AF144" s="552">
        <v>35</v>
      </c>
      <c r="AG144" s="553">
        <f>Input!R39</f>
        <v>0</v>
      </c>
      <c r="AH144" s="553">
        <f t="shared" si="102"/>
        <v>0</v>
      </c>
      <c r="AI144" s="553">
        <f t="shared" si="99"/>
        <v>0</v>
      </c>
      <c r="AJ144" s="553">
        <f t="shared" si="100"/>
        <v>0</v>
      </c>
      <c r="AK144" s="555">
        <f t="shared" si="101"/>
        <v>0</v>
      </c>
      <c r="AL144" s="157">
        <f t="shared" si="74"/>
        <v>0</v>
      </c>
      <c r="AM144" s="31" t="str">
        <f t="shared" si="75"/>
        <v/>
      </c>
      <c r="AN144" s="157">
        <f t="shared" si="76"/>
        <v>0</v>
      </c>
      <c r="AO144" s="31" t="str">
        <f t="shared" si="77"/>
        <v/>
      </c>
      <c r="AP144" s="157">
        <f t="shared" si="78"/>
        <v>0</v>
      </c>
      <c r="AQ144" s="31" t="str">
        <f t="shared" si="79"/>
        <v/>
      </c>
      <c r="AR144" s="157">
        <f t="shared" si="80"/>
        <v>0</v>
      </c>
      <c r="AS144" s="31" t="str">
        <f t="shared" si="81"/>
        <v/>
      </c>
      <c r="AT144" s="157">
        <f t="shared" si="82"/>
        <v>0</v>
      </c>
      <c r="AU144" s="31" t="str">
        <f t="shared" si="83"/>
        <v/>
      </c>
    </row>
    <row r="145" spans="2:47" ht="16" thickBot="1" x14ac:dyDescent="0.25">
      <c r="B145" s="17"/>
      <c r="C145" s="88"/>
      <c r="D145" s="88"/>
      <c r="E145" s="88"/>
      <c r="F145" s="88"/>
      <c r="G145" s="89"/>
      <c r="H145" s="143"/>
      <c r="I145" s="144"/>
      <c r="J145" s="144"/>
      <c r="K145" s="144"/>
      <c r="L145" s="144"/>
      <c r="M145" s="145"/>
      <c r="N145" s="90"/>
      <c r="O145" s="91"/>
      <c r="P145" s="91"/>
      <c r="Q145" s="91"/>
      <c r="R145" s="91"/>
      <c r="S145" s="92"/>
      <c r="T145" s="93"/>
      <c r="U145" s="94"/>
      <c r="V145" s="94"/>
      <c r="W145" s="94"/>
      <c r="X145" s="94"/>
      <c r="Y145" s="95"/>
      <c r="Z145" s="96"/>
      <c r="AA145" s="97"/>
      <c r="AB145" s="97"/>
      <c r="AC145" s="97"/>
      <c r="AD145" s="97"/>
      <c r="AE145" s="97"/>
      <c r="AF145" s="561"/>
      <c r="AG145" s="562"/>
      <c r="AH145" s="562"/>
      <c r="AI145" s="562"/>
      <c r="AJ145" s="562"/>
      <c r="AK145" s="563"/>
      <c r="AL145" s="157">
        <f t="shared" si="74"/>
        <v>0</v>
      </c>
      <c r="AM145" s="31" t="str">
        <f t="shared" si="75"/>
        <v/>
      </c>
      <c r="AN145" s="157">
        <f t="shared" si="76"/>
        <v>0</v>
      </c>
      <c r="AO145" s="31" t="str">
        <f t="shared" si="77"/>
        <v/>
      </c>
      <c r="AP145" s="157">
        <f t="shared" si="78"/>
        <v>0</v>
      </c>
      <c r="AQ145" s="31" t="str">
        <f t="shared" si="79"/>
        <v/>
      </c>
      <c r="AR145" s="157">
        <f t="shared" si="80"/>
        <v>0</v>
      </c>
      <c r="AS145" s="31" t="str">
        <f t="shared" si="81"/>
        <v/>
      </c>
      <c r="AT145" s="157">
        <f t="shared" si="82"/>
        <v>0</v>
      </c>
      <c r="AU145" s="31" t="str">
        <f t="shared" si="83"/>
        <v/>
      </c>
    </row>
    <row r="146" spans="2:47" x14ac:dyDescent="0.2">
      <c r="B146"/>
      <c r="C146" t="s">
        <v>677</v>
      </c>
      <c r="D146" s="72">
        <f>SUMPRODUCT(C116:C144,E116:E144)</f>
        <v>1280.6269468778037</v>
      </c>
      <c r="E146" t="s">
        <v>534</v>
      </c>
      <c r="F146" s="4">
        <f>D146/35.315*(38/100/(1-50/100))*1.1023</f>
        <v>30.379234418603609</v>
      </c>
      <c r="G146" t="s">
        <v>535</v>
      </c>
      <c r="I146" t="s">
        <v>677</v>
      </c>
      <c r="J146" s="72">
        <f>SUMPRODUCT(I116:I144,K116:K144)</f>
        <v>0</v>
      </c>
      <c r="K146" t="s">
        <v>534</v>
      </c>
      <c r="L146" s="4">
        <f>J146/35.315*(45/100/(1-50/100))*1.1023</f>
        <v>0</v>
      </c>
      <c r="M146" t="s">
        <v>535</v>
      </c>
      <c r="O146" t="s">
        <v>533</v>
      </c>
      <c r="P146" s="72">
        <f>SUMPRODUCT(O116:O144,Q116:Q144)</f>
        <v>0</v>
      </c>
      <c r="Q146" t="s">
        <v>534</v>
      </c>
      <c r="R146" s="4">
        <f>P146/35.315*(35/100/(1-50/100))*1.1023</f>
        <v>0</v>
      </c>
      <c r="S146" t="s">
        <v>535</v>
      </c>
      <c r="U146" t="s">
        <v>677</v>
      </c>
      <c r="V146" s="72">
        <f>SUMPRODUCT(U116:U144,W116:W144)</f>
        <v>0</v>
      </c>
      <c r="W146" t="s">
        <v>534</v>
      </c>
      <c r="X146" s="4">
        <f>V146/35.315*(37/100/(1-50/100))*1.1023</f>
        <v>0</v>
      </c>
      <c r="Y146" t="s">
        <v>535</v>
      </c>
      <c r="AA146" t="s">
        <v>677</v>
      </c>
      <c r="AB146" s="72">
        <f>SUMPRODUCT(AA116:AA144,AC116:AC144)</f>
        <v>0</v>
      </c>
      <c r="AC146" t="s">
        <v>534</v>
      </c>
      <c r="AD146" s="4">
        <f>AB146/35.315*(34/100/(1-50/100))*1.1023</f>
        <v>0</v>
      </c>
      <c r="AE146" t="s">
        <v>535</v>
      </c>
      <c r="AG146" t="s">
        <v>677</v>
      </c>
      <c r="AH146" s="72">
        <f>SUMPRODUCT(AG116:AG144,AI116:AI144)</f>
        <v>0</v>
      </c>
      <c r="AI146" t="s">
        <v>534</v>
      </c>
      <c r="AJ146" s="4">
        <f>AH146/35.315*(36/100/(1-50/100))*1.1023</f>
        <v>0</v>
      </c>
      <c r="AK146" t="s">
        <v>535</v>
      </c>
      <c r="AL146" s="169">
        <f>SUMPRODUCT(AL116:AL144,C116:C144)</f>
        <v>10.8</v>
      </c>
      <c r="AM146" s="169">
        <f>SUMPRODUCT(AM116:AM144,C116:C144)</f>
        <v>66.099999999999994</v>
      </c>
      <c r="AN146" s="169">
        <f>SUMPRODUCT(AN116:AN144,I116:I144)</f>
        <v>0</v>
      </c>
      <c r="AO146" s="169">
        <f>SUMPRODUCT(AO116:AO144,I116:I144)</f>
        <v>0</v>
      </c>
      <c r="AP146" s="169">
        <f>SUMPRODUCT(AP116:AP144,O116:O144)</f>
        <v>0</v>
      </c>
      <c r="AQ146" s="169">
        <f>SUMPRODUCT(AQ116:AQ144,O116:O144)</f>
        <v>0</v>
      </c>
      <c r="AR146" s="169">
        <f>SUMPRODUCT(AR116:AR144,U116:U144)</f>
        <v>0</v>
      </c>
      <c r="AS146" s="169">
        <f>SUMPRODUCT(AS116:AS144,U116:U144)</f>
        <v>0</v>
      </c>
      <c r="AT146" s="169">
        <f>SUMPRODUCT(AT116:AT144,AA116:AA144)</f>
        <v>0</v>
      </c>
      <c r="AU146" s="169">
        <f>SUMPRODUCT(AU116:AU144,AA116:AA144)</f>
        <v>0</v>
      </c>
    </row>
    <row r="147" spans="2:47" x14ac:dyDescent="0.2">
      <c r="B147"/>
      <c r="C147" t="s">
        <v>120</v>
      </c>
      <c r="D147" s="156">
        <f>SUM(G112:G144)</f>
        <v>12.424403594070265</v>
      </c>
      <c r="E147" t="s">
        <v>535</v>
      </c>
      <c r="F147" s="157">
        <f>D147*35.315/(38/100/(1-50/100))/1.1023</f>
        <v>523.7467745964077</v>
      </c>
      <c r="G147" t="s">
        <v>534</v>
      </c>
      <c r="I147" t="s">
        <v>120</v>
      </c>
      <c r="J147" s="156">
        <f>SUM(M112:M144)</f>
        <v>0</v>
      </c>
      <c r="K147" t="s">
        <v>535</v>
      </c>
      <c r="L147" s="157">
        <f>J147*35.315/(45/100/(1-50/100))/1.1023</f>
        <v>0</v>
      </c>
      <c r="M147" t="s">
        <v>534</v>
      </c>
      <c r="O147" t="s">
        <v>120</v>
      </c>
      <c r="P147" s="156">
        <f>SUM(S112:S144)</f>
        <v>0</v>
      </c>
      <c r="Q147" t="s">
        <v>535</v>
      </c>
      <c r="R147" s="157">
        <f>P147*35.315/(35/100/(1-50/100))/1.1023</f>
        <v>0</v>
      </c>
      <c r="S147" t="s">
        <v>534</v>
      </c>
      <c r="U147" t="s">
        <v>120</v>
      </c>
      <c r="V147" s="156">
        <f>SUM(Y112:Y144)</f>
        <v>0</v>
      </c>
      <c r="W147" t="s">
        <v>535</v>
      </c>
      <c r="X147" s="157">
        <f>V147*35.315/(37/100/(1-50/100))/1.1023</f>
        <v>0</v>
      </c>
      <c r="Y147" t="s">
        <v>534</v>
      </c>
      <c r="AA147" t="s">
        <v>120</v>
      </c>
      <c r="AB147" s="156">
        <f>SUM(AE112:AE144)</f>
        <v>0</v>
      </c>
      <c r="AC147" t="s">
        <v>535</v>
      </c>
      <c r="AD147" s="157">
        <f>AB147*35.315/(34/100/(1-50/100))/1.1023</f>
        <v>0</v>
      </c>
      <c r="AE147" t="s">
        <v>534</v>
      </c>
      <c r="AG147" t="s">
        <v>120</v>
      </c>
      <c r="AH147" s="156">
        <f>SUM(AK112:AK144)</f>
        <v>0</v>
      </c>
      <c r="AI147" t="s">
        <v>535</v>
      </c>
      <c r="AJ147" s="157">
        <f>AH147*35.315/(36/100/(1-50/100))/1.1023</f>
        <v>0</v>
      </c>
      <c r="AK147" t="s">
        <v>534</v>
      </c>
      <c r="AL147" t="s">
        <v>546</v>
      </c>
      <c r="AM147" s="125">
        <f>SUM(AL146,AN146,AP146,AR146,AT146)</f>
        <v>10.8</v>
      </c>
      <c r="AN147" t="s">
        <v>547</v>
      </c>
      <c r="AP147" s="125">
        <f>AM147/E6</f>
        <v>0.24215246636771301</v>
      </c>
    </row>
    <row r="148" spans="2:47" x14ac:dyDescent="0.2">
      <c r="AL148" t="s">
        <v>548</v>
      </c>
      <c r="AM148" s="125">
        <f>SUM(AM146,AO146,AQ146,AS146,AU146)</f>
        <v>66.099999999999994</v>
      </c>
      <c r="AN148" t="s">
        <v>549</v>
      </c>
      <c r="AP148" s="125">
        <f>AM148/E6</f>
        <v>1.482062780269058</v>
      </c>
    </row>
  </sheetData>
  <mergeCells count="56">
    <mergeCell ref="R9:T9"/>
    <mergeCell ref="H4:L4"/>
    <mergeCell ref="M4:Q4"/>
    <mergeCell ref="R4:V4"/>
    <mergeCell ref="H6:J6"/>
    <mergeCell ref="H5:J5"/>
    <mergeCell ref="M9:O9"/>
    <mergeCell ref="H9:J9"/>
    <mergeCell ref="R8:T8"/>
    <mergeCell ref="M8:O8"/>
    <mergeCell ref="M7:O7"/>
    <mergeCell ref="R7:T7"/>
    <mergeCell ref="B1:AE1"/>
    <mergeCell ref="B3:F3"/>
    <mergeCell ref="B6:D6"/>
    <mergeCell ref="B4:D4"/>
    <mergeCell ref="R5:T5"/>
    <mergeCell ref="R6:T6"/>
    <mergeCell ref="B5:D5"/>
    <mergeCell ref="M5:O5"/>
    <mergeCell ref="M6:O6"/>
    <mergeCell ref="H3:V3"/>
    <mergeCell ref="Z65:AE65"/>
    <mergeCell ref="B14:D14"/>
    <mergeCell ref="H11:P17"/>
    <mergeCell ref="H109:M109"/>
    <mergeCell ref="T109:Y109"/>
    <mergeCell ref="Z109:AE109"/>
    <mergeCell ref="N109:R109"/>
    <mergeCell ref="B109:G109"/>
    <mergeCell ref="B15:D15"/>
    <mergeCell ref="B8:D8"/>
    <mergeCell ref="B13:D13"/>
    <mergeCell ref="H7:J7"/>
    <mergeCell ref="B9:D9"/>
    <mergeCell ref="H8:J8"/>
    <mergeCell ref="B10:D10"/>
    <mergeCell ref="B12:D12"/>
    <mergeCell ref="B7:D7"/>
    <mergeCell ref="B11:D11"/>
    <mergeCell ref="AF22:AK22"/>
    <mergeCell ref="AF65:AK65"/>
    <mergeCell ref="AF109:AK109"/>
    <mergeCell ref="B19:AK19"/>
    <mergeCell ref="B21:AK21"/>
    <mergeCell ref="B64:AK64"/>
    <mergeCell ref="B108:AK108"/>
    <mergeCell ref="B65:G65"/>
    <mergeCell ref="Z22:AE22"/>
    <mergeCell ref="T22:Y22"/>
    <mergeCell ref="N22:S22"/>
    <mergeCell ref="H22:M22"/>
    <mergeCell ref="T65:Y65"/>
    <mergeCell ref="H65:M65"/>
    <mergeCell ref="N65:S65"/>
    <mergeCell ref="B22:G22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EE7AB-A313-45DD-8445-584095658913}">
  <sheetPr>
    <tabColor rgb="FF92D050"/>
  </sheetPr>
  <dimension ref="B2:H29"/>
  <sheetViews>
    <sheetView zoomScaleNormal="100" workbookViewId="0">
      <selection activeCell="D22" sqref="D22"/>
    </sheetView>
  </sheetViews>
  <sheetFormatPr baseColWidth="10" defaultColWidth="8.83203125" defaultRowHeight="15" x14ac:dyDescent="0.2"/>
  <cols>
    <col min="4" max="4" width="117.5" bestFit="1" customWidth="1"/>
    <col min="5" max="5" width="23" bestFit="1" customWidth="1"/>
    <col min="6" max="6" width="16.33203125" customWidth="1"/>
    <col min="7" max="7" width="56.33203125" bestFit="1" customWidth="1"/>
  </cols>
  <sheetData>
    <row r="2" spans="2:8" ht="16" thickBot="1" x14ac:dyDescent="0.25">
      <c r="B2" s="34"/>
      <c r="C2" s="34"/>
      <c r="D2" s="34"/>
      <c r="E2" s="34"/>
      <c r="F2" s="34"/>
      <c r="G2" s="34"/>
      <c r="H2" s="34"/>
    </row>
    <row r="3" spans="2:8" ht="26.25" customHeight="1" x14ac:dyDescent="0.2">
      <c r="B3" s="34"/>
      <c r="C3" s="1125" t="s">
        <v>550</v>
      </c>
      <c r="D3" s="1126"/>
      <c r="E3" s="1126"/>
      <c r="F3" s="1126"/>
      <c r="G3" s="1127"/>
      <c r="H3" s="34"/>
    </row>
    <row r="4" spans="2:8" ht="15" customHeight="1" thickBot="1" x14ac:dyDescent="0.25">
      <c r="B4" s="34"/>
      <c r="C4" s="1128"/>
      <c r="D4" s="1129"/>
      <c r="E4" s="1129"/>
      <c r="F4" s="1129"/>
      <c r="G4" s="1130"/>
      <c r="H4" s="34"/>
    </row>
    <row r="5" spans="2:8" ht="16" thickBot="1" x14ac:dyDescent="0.25">
      <c r="B5" s="34"/>
      <c r="C5" s="34"/>
      <c r="D5" s="34"/>
      <c r="E5" s="34"/>
      <c r="F5" s="34"/>
      <c r="G5" s="34"/>
      <c r="H5" s="34"/>
    </row>
    <row r="6" spans="2:8" ht="35" customHeight="1" thickBot="1" x14ac:dyDescent="0.25">
      <c r="B6" s="34"/>
      <c r="C6" s="604" t="s">
        <v>680</v>
      </c>
      <c r="D6" s="605" t="s">
        <v>682</v>
      </c>
      <c r="E6" s="606" t="s">
        <v>52</v>
      </c>
      <c r="F6" s="607" t="s">
        <v>681</v>
      </c>
      <c r="G6" s="608" t="s">
        <v>262</v>
      </c>
      <c r="H6" s="34"/>
    </row>
    <row r="7" spans="2:8" x14ac:dyDescent="0.2">
      <c r="B7" s="34"/>
      <c r="C7" s="602">
        <v>1</v>
      </c>
      <c r="D7" s="599" t="s">
        <v>551</v>
      </c>
      <c r="E7" s="412" t="s">
        <v>552</v>
      </c>
      <c r="F7" s="479">
        <v>2020</v>
      </c>
      <c r="G7" s="609" t="s">
        <v>553</v>
      </c>
      <c r="H7" s="34"/>
    </row>
    <row r="8" spans="2:8" x14ac:dyDescent="0.2">
      <c r="B8" s="34"/>
      <c r="C8" s="602">
        <v>2</v>
      </c>
      <c r="D8" s="600" t="s">
        <v>554</v>
      </c>
      <c r="E8" s="411" t="s">
        <v>555</v>
      </c>
      <c r="F8" s="476">
        <v>2019</v>
      </c>
      <c r="G8" s="610" t="s">
        <v>556</v>
      </c>
      <c r="H8" s="34"/>
    </row>
    <row r="9" spans="2:8" x14ac:dyDescent="0.2">
      <c r="B9" s="34"/>
      <c r="C9" s="602">
        <v>3</v>
      </c>
      <c r="D9" s="600" t="s">
        <v>557</v>
      </c>
      <c r="E9" s="411" t="s">
        <v>558</v>
      </c>
      <c r="F9" s="476">
        <v>2019</v>
      </c>
      <c r="G9" s="610" t="s">
        <v>559</v>
      </c>
      <c r="H9" s="34"/>
    </row>
    <row r="10" spans="2:8" x14ac:dyDescent="0.2">
      <c r="B10" s="34"/>
      <c r="C10" s="602">
        <v>4</v>
      </c>
      <c r="D10" s="599" t="s">
        <v>560</v>
      </c>
      <c r="E10" s="412" t="s">
        <v>342</v>
      </c>
      <c r="F10" s="477">
        <v>2018</v>
      </c>
      <c r="G10" s="611" t="s">
        <v>561</v>
      </c>
      <c r="H10" s="34"/>
    </row>
    <row r="11" spans="2:8" x14ac:dyDescent="0.2">
      <c r="B11" s="34"/>
      <c r="C11" s="602">
        <v>5</v>
      </c>
      <c r="D11" s="600" t="s">
        <v>562</v>
      </c>
      <c r="E11" s="411" t="s">
        <v>563</v>
      </c>
      <c r="F11" s="476">
        <v>2011</v>
      </c>
      <c r="G11" s="610" t="s">
        <v>564</v>
      </c>
      <c r="H11" s="34"/>
    </row>
    <row r="12" spans="2:8" x14ac:dyDescent="0.2">
      <c r="B12" s="34"/>
      <c r="C12" s="602">
        <v>6</v>
      </c>
      <c r="D12" s="600" t="s">
        <v>565</v>
      </c>
      <c r="E12" s="411" t="s">
        <v>566</v>
      </c>
      <c r="F12" s="476">
        <v>2009</v>
      </c>
      <c r="G12" s="610" t="s">
        <v>564</v>
      </c>
      <c r="H12" s="34"/>
    </row>
    <row r="13" spans="2:8" x14ac:dyDescent="0.2">
      <c r="B13" s="34"/>
      <c r="C13" s="602">
        <v>7</v>
      </c>
      <c r="D13" s="600" t="s">
        <v>567</v>
      </c>
      <c r="E13" s="411" t="s">
        <v>568</v>
      </c>
      <c r="F13" s="476">
        <v>2008</v>
      </c>
      <c r="G13" s="610" t="s">
        <v>564</v>
      </c>
      <c r="H13" s="34"/>
    </row>
    <row r="14" spans="2:8" x14ac:dyDescent="0.2">
      <c r="B14" s="34"/>
      <c r="C14" s="602">
        <v>8</v>
      </c>
      <c r="D14" s="34" t="s">
        <v>569</v>
      </c>
      <c r="E14" s="411" t="s">
        <v>570</v>
      </c>
      <c r="F14" s="476">
        <v>2007</v>
      </c>
      <c r="G14" s="610" t="s">
        <v>564</v>
      </c>
      <c r="H14" s="34"/>
    </row>
    <row r="15" spans="2:8" x14ac:dyDescent="0.2">
      <c r="B15" s="34"/>
      <c r="C15" s="602">
        <v>9</v>
      </c>
      <c r="D15" s="600" t="s">
        <v>571</v>
      </c>
      <c r="E15" s="411" t="s">
        <v>572</v>
      </c>
      <c r="F15" s="476">
        <v>2005</v>
      </c>
      <c r="G15" s="610" t="s">
        <v>687</v>
      </c>
      <c r="H15" s="34"/>
    </row>
    <row r="16" spans="2:8" x14ac:dyDescent="0.2">
      <c r="B16" s="34"/>
      <c r="C16" s="602">
        <v>10</v>
      </c>
      <c r="D16" s="600" t="s">
        <v>684</v>
      </c>
      <c r="E16" s="411" t="s">
        <v>573</v>
      </c>
      <c r="F16" s="476">
        <v>2004</v>
      </c>
      <c r="G16" s="610" t="s">
        <v>685</v>
      </c>
      <c r="H16" s="34"/>
    </row>
    <row r="17" spans="2:8" x14ac:dyDescent="0.2">
      <c r="B17" s="34"/>
      <c r="C17" s="602">
        <v>11</v>
      </c>
      <c r="D17" s="600" t="s">
        <v>574</v>
      </c>
      <c r="E17" s="411" t="s">
        <v>575</v>
      </c>
      <c r="F17" s="476">
        <v>2001</v>
      </c>
      <c r="G17" s="610" t="s">
        <v>576</v>
      </c>
      <c r="H17" s="34"/>
    </row>
    <row r="18" spans="2:8" x14ac:dyDescent="0.2">
      <c r="B18" s="34"/>
      <c r="C18" s="602">
        <v>12</v>
      </c>
      <c r="D18" s="600" t="s">
        <v>577</v>
      </c>
      <c r="E18" s="411" t="s">
        <v>578</v>
      </c>
      <c r="F18" s="476">
        <v>2001</v>
      </c>
      <c r="G18" s="610" t="s">
        <v>579</v>
      </c>
      <c r="H18" s="34"/>
    </row>
    <row r="19" spans="2:8" x14ac:dyDescent="0.2">
      <c r="B19" s="34"/>
      <c r="C19" s="602">
        <v>13</v>
      </c>
      <c r="D19" s="600" t="s">
        <v>580</v>
      </c>
      <c r="E19" s="411" t="s">
        <v>581</v>
      </c>
      <c r="F19" s="476">
        <v>1996</v>
      </c>
      <c r="G19" s="610" t="s">
        <v>564</v>
      </c>
      <c r="H19" s="34"/>
    </row>
    <row r="20" spans="2:8" x14ac:dyDescent="0.2">
      <c r="B20" s="34"/>
      <c r="C20" s="602">
        <v>14</v>
      </c>
      <c r="D20" s="600" t="s">
        <v>582</v>
      </c>
      <c r="E20" s="411" t="s">
        <v>583</v>
      </c>
      <c r="F20" s="476">
        <v>1996</v>
      </c>
      <c r="G20" s="610" t="s">
        <v>579</v>
      </c>
      <c r="H20" s="34"/>
    </row>
    <row r="21" spans="2:8" x14ac:dyDescent="0.2">
      <c r="B21" s="34"/>
      <c r="C21" s="602">
        <v>15</v>
      </c>
      <c r="D21" s="600" t="s">
        <v>584</v>
      </c>
      <c r="E21" s="411" t="s">
        <v>585</v>
      </c>
      <c r="F21" s="476">
        <v>1994</v>
      </c>
      <c r="G21" s="610" t="s">
        <v>686</v>
      </c>
      <c r="H21" s="34"/>
    </row>
    <row r="22" spans="2:8" x14ac:dyDescent="0.2">
      <c r="B22" s="34"/>
      <c r="C22" s="602">
        <v>16</v>
      </c>
      <c r="D22" s="600" t="s">
        <v>782</v>
      </c>
      <c r="E22" s="411" t="s">
        <v>586</v>
      </c>
      <c r="F22" s="476">
        <v>1994</v>
      </c>
      <c r="G22" s="610" t="s">
        <v>579</v>
      </c>
      <c r="H22" s="34"/>
    </row>
    <row r="23" spans="2:8" x14ac:dyDescent="0.2">
      <c r="B23" s="34"/>
      <c r="C23" s="602">
        <v>17</v>
      </c>
      <c r="D23" s="600" t="s">
        <v>587</v>
      </c>
      <c r="E23" s="411" t="s">
        <v>588</v>
      </c>
      <c r="F23" s="476">
        <v>1994</v>
      </c>
      <c r="G23" s="610" t="s">
        <v>579</v>
      </c>
      <c r="H23" s="34"/>
    </row>
    <row r="24" spans="2:8" x14ac:dyDescent="0.2">
      <c r="B24" s="34"/>
      <c r="C24" s="602">
        <v>18</v>
      </c>
      <c r="D24" s="600" t="s">
        <v>589</v>
      </c>
      <c r="E24" s="411" t="s">
        <v>590</v>
      </c>
      <c r="F24" s="476">
        <v>1988</v>
      </c>
      <c r="G24" s="610" t="s">
        <v>591</v>
      </c>
      <c r="H24" s="34"/>
    </row>
    <row r="25" spans="2:8" x14ac:dyDescent="0.2">
      <c r="B25" s="34"/>
      <c r="C25" s="602">
        <v>19</v>
      </c>
      <c r="D25" s="600" t="s">
        <v>592</v>
      </c>
      <c r="E25" s="411" t="s">
        <v>583</v>
      </c>
      <c r="F25" s="476">
        <v>1986</v>
      </c>
      <c r="G25" s="610" t="s">
        <v>593</v>
      </c>
      <c r="H25" s="34"/>
    </row>
    <row r="26" spans="2:8" x14ac:dyDescent="0.2">
      <c r="B26" s="34"/>
      <c r="C26" s="602">
        <v>20</v>
      </c>
      <c r="D26" s="600" t="s">
        <v>594</v>
      </c>
      <c r="E26" s="411" t="s">
        <v>595</v>
      </c>
      <c r="F26" s="476">
        <v>1986</v>
      </c>
      <c r="G26" s="610" t="s">
        <v>591</v>
      </c>
      <c r="H26" s="34"/>
    </row>
    <row r="27" spans="2:8" x14ac:dyDescent="0.2">
      <c r="B27" s="34"/>
      <c r="C27" s="602">
        <v>21</v>
      </c>
      <c r="D27" s="600" t="s">
        <v>596</v>
      </c>
      <c r="E27" s="411" t="s">
        <v>583</v>
      </c>
      <c r="F27" s="476">
        <v>1984</v>
      </c>
      <c r="G27" s="610" t="s">
        <v>593</v>
      </c>
      <c r="H27" s="34"/>
    </row>
    <row r="28" spans="2:8" ht="16" thickBot="1" x14ac:dyDescent="0.25">
      <c r="B28" s="34"/>
      <c r="C28" s="603">
        <v>22</v>
      </c>
      <c r="D28" s="601" t="s">
        <v>683</v>
      </c>
      <c r="E28" s="445" t="s">
        <v>597</v>
      </c>
      <c r="F28" s="478">
        <v>1983</v>
      </c>
      <c r="G28" s="612" t="s">
        <v>598</v>
      </c>
      <c r="H28" s="34"/>
    </row>
    <row r="29" spans="2:8" x14ac:dyDescent="0.2">
      <c r="B29" s="34"/>
      <c r="C29" s="34"/>
      <c r="D29" s="34"/>
      <c r="E29" s="34"/>
      <c r="F29" s="34"/>
      <c r="G29" s="34"/>
      <c r="H29" s="34"/>
    </row>
  </sheetData>
  <mergeCells count="1">
    <mergeCell ref="C3:G4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94B6B3-B19D-4322-9BF5-D8711C2977D8}">
  <dimension ref="C3:AB1143"/>
  <sheetViews>
    <sheetView topLeftCell="A4" workbookViewId="0">
      <selection activeCell="M6" sqref="M6"/>
    </sheetView>
  </sheetViews>
  <sheetFormatPr baseColWidth="10" defaultColWidth="8.83203125" defaultRowHeight="15" x14ac:dyDescent="0.2"/>
  <sheetData>
    <row r="3" spans="3:25" x14ac:dyDescent="0.2">
      <c r="C3" t="s">
        <v>599</v>
      </c>
      <c r="N3" t="s">
        <v>287</v>
      </c>
      <c r="O3">
        <v>6.42</v>
      </c>
      <c r="P3">
        <v>11.45</v>
      </c>
    </row>
    <row r="4" spans="3:25" x14ac:dyDescent="0.2">
      <c r="C4" t="s">
        <v>241</v>
      </c>
      <c r="G4" t="s">
        <v>243</v>
      </c>
      <c r="W4" t="s">
        <v>287</v>
      </c>
      <c r="X4">
        <v>6.42</v>
      </c>
      <c r="Y4">
        <v>11.45</v>
      </c>
    </row>
    <row r="5" spans="3:25" x14ac:dyDescent="0.2">
      <c r="L5" t="s">
        <v>600</v>
      </c>
    </row>
    <row r="6" spans="3:25" x14ac:dyDescent="0.2">
      <c r="C6" t="s">
        <v>287</v>
      </c>
      <c r="D6" t="s">
        <v>601</v>
      </c>
      <c r="G6" t="s">
        <v>287</v>
      </c>
      <c r="H6" t="s">
        <v>601</v>
      </c>
      <c r="L6" t="s">
        <v>241</v>
      </c>
      <c r="M6" t="s">
        <v>602</v>
      </c>
      <c r="O6">
        <f>0.586094+0.06247*O3</f>
        <v>0.98715140000000001</v>
      </c>
      <c r="P6">
        <f>0.586094+0.06247*P3</f>
        <v>1.3013754999999998</v>
      </c>
      <c r="T6" t="s">
        <v>603</v>
      </c>
      <c r="Y6">
        <f>MAX(1,-0.43+0.678*SQRT(Y4))</f>
        <v>1.8642061372073784</v>
      </c>
    </row>
    <row r="7" spans="3:25" x14ac:dyDescent="0.2">
      <c r="C7" s="436">
        <v>20</v>
      </c>
      <c r="D7" s="436">
        <v>1</v>
      </c>
      <c r="E7" s="4"/>
      <c r="F7" s="4"/>
      <c r="G7" s="435">
        <v>11</v>
      </c>
      <c r="H7" s="435">
        <v>2</v>
      </c>
      <c r="I7" s="4"/>
      <c r="J7" s="4"/>
      <c r="L7" t="s">
        <v>243</v>
      </c>
      <c r="M7" t="s">
        <v>604</v>
      </c>
      <c r="O7">
        <f>-0.01408+0.224122*O3</f>
        <v>1.4247832399999998</v>
      </c>
      <c r="P7">
        <f>-0.01408+0.224122*P3</f>
        <v>2.5521168999999997</v>
      </c>
      <c r="T7" t="s">
        <v>605</v>
      </c>
      <c r="X7">
        <f>MAX(1,-0.43+0.678*SQRT(X4))*2</f>
        <v>2.5757946853675646</v>
      </c>
      <c r="Y7">
        <f>MAX(1,-0.43+0.678*SQRT(Y4))*2</f>
        <v>3.7284122744147568</v>
      </c>
    </row>
    <row r="8" spans="3:25" x14ac:dyDescent="0.2">
      <c r="C8" s="436">
        <v>23</v>
      </c>
      <c r="D8" s="436">
        <v>2</v>
      </c>
      <c r="E8" s="4"/>
      <c r="F8" s="4"/>
      <c r="G8" s="435">
        <v>13</v>
      </c>
      <c r="H8" s="435">
        <v>3</v>
      </c>
      <c r="I8" s="4"/>
      <c r="J8" s="4"/>
    </row>
    <row r="9" spans="3:25" x14ac:dyDescent="0.2">
      <c r="C9" s="436">
        <v>25</v>
      </c>
      <c r="D9" s="436">
        <v>2</v>
      </c>
      <c r="E9" s="4"/>
      <c r="F9" s="4"/>
      <c r="G9" s="435">
        <v>10</v>
      </c>
      <c r="H9" s="435">
        <v>2</v>
      </c>
      <c r="I9" s="4"/>
      <c r="J9" s="4"/>
    </row>
    <row r="10" spans="3:25" x14ac:dyDescent="0.2">
      <c r="C10" s="436">
        <v>9</v>
      </c>
      <c r="D10" s="436">
        <v>1</v>
      </c>
      <c r="E10" s="4"/>
      <c r="F10" s="4"/>
      <c r="G10" s="435">
        <v>7</v>
      </c>
      <c r="H10" s="435">
        <v>1</v>
      </c>
      <c r="I10" s="4"/>
      <c r="J10" s="4"/>
    </row>
    <row r="11" spans="3:25" x14ac:dyDescent="0.2">
      <c r="C11" s="436">
        <v>12</v>
      </c>
      <c r="D11" s="436">
        <v>1</v>
      </c>
      <c r="E11" s="4"/>
      <c r="F11" s="4"/>
      <c r="G11" s="435">
        <v>13</v>
      </c>
      <c r="H11" s="435">
        <v>3</v>
      </c>
      <c r="I11" s="4"/>
      <c r="J11" s="4"/>
    </row>
    <row r="12" spans="3:25" x14ac:dyDescent="0.2">
      <c r="C12" s="436">
        <v>8</v>
      </c>
      <c r="D12" s="436">
        <v>1</v>
      </c>
      <c r="E12" s="4"/>
      <c r="F12" s="4"/>
      <c r="G12" s="435">
        <v>6</v>
      </c>
      <c r="H12" s="435">
        <v>1</v>
      </c>
      <c r="I12" s="4"/>
      <c r="J12" s="4"/>
    </row>
    <row r="13" spans="3:25" x14ac:dyDescent="0.2">
      <c r="C13" s="437">
        <v>10</v>
      </c>
      <c r="D13" s="436">
        <v>1</v>
      </c>
      <c r="E13" s="4"/>
      <c r="F13" s="4"/>
      <c r="G13" s="435">
        <v>10</v>
      </c>
      <c r="H13" s="435">
        <v>2</v>
      </c>
      <c r="I13" s="4"/>
      <c r="J13" s="4"/>
    </row>
    <row r="14" spans="3:25" x14ac:dyDescent="0.2">
      <c r="C14" s="436">
        <v>12</v>
      </c>
      <c r="D14" s="436">
        <v>1</v>
      </c>
      <c r="E14" s="4"/>
      <c r="F14" s="4"/>
      <c r="G14" s="435">
        <v>9</v>
      </c>
      <c r="H14" s="435">
        <v>1</v>
      </c>
      <c r="I14" s="4"/>
      <c r="J14" s="4"/>
    </row>
    <row r="15" spans="3:25" x14ac:dyDescent="0.2">
      <c r="C15" s="436">
        <v>6</v>
      </c>
      <c r="D15" s="436">
        <v>1</v>
      </c>
      <c r="E15" s="4"/>
      <c r="F15" s="4"/>
      <c r="G15" s="435">
        <v>12</v>
      </c>
      <c r="H15" s="435">
        <v>2</v>
      </c>
      <c r="I15" s="4"/>
      <c r="J15" s="4"/>
    </row>
    <row r="16" spans="3:25" x14ac:dyDescent="0.2">
      <c r="C16" s="436">
        <v>16</v>
      </c>
      <c r="D16" s="436">
        <v>1</v>
      </c>
      <c r="E16" s="4"/>
      <c r="F16" s="4"/>
      <c r="G16" s="435">
        <v>12</v>
      </c>
      <c r="H16" s="435">
        <v>2</v>
      </c>
      <c r="I16" s="4"/>
      <c r="J16" s="4"/>
    </row>
    <row r="17" spans="3:25" x14ac:dyDescent="0.2">
      <c r="C17" s="436">
        <v>6</v>
      </c>
      <c r="D17" s="436">
        <v>1</v>
      </c>
      <c r="E17" s="4"/>
      <c r="F17" s="4"/>
      <c r="G17" s="435">
        <v>13</v>
      </c>
      <c r="H17" s="435">
        <v>2</v>
      </c>
      <c r="I17" s="4"/>
      <c r="J17" s="4"/>
    </row>
    <row r="18" spans="3:25" x14ac:dyDescent="0.2">
      <c r="C18" s="436">
        <v>8</v>
      </c>
      <c r="D18" s="436">
        <v>1</v>
      </c>
      <c r="E18" s="4"/>
      <c r="F18" s="4"/>
      <c r="G18" s="435">
        <v>7</v>
      </c>
      <c r="H18" s="435">
        <v>1</v>
      </c>
      <c r="I18" s="4"/>
      <c r="J18" s="4"/>
      <c r="K18" t="s">
        <v>353</v>
      </c>
      <c r="T18" t="s">
        <v>353</v>
      </c>
    </row>
    <row r="19" spans="3:25" ht="16" thickBot="1" x14ac:dyDescent="0.25">
      <c r="C19" s="436">
        <v>10</v>
      </c>
      <c r="D19" s="436">
        <v>1</v>
      </c>
      <c r="E19" s="4"/>
      <c r="F19" s="4"/>
      <c r="G19" s="435">
        <v>8</v>
      </c>
      <c r="H19" s="435">
        <v>1</v>
      </c>
      <c r="I19" s="4"/>
      <c r="J19" s="4"/>
    </row>
    <row r="20" spans="3:25" x14ac:dyDescent="0.2">
      <c r="C20" s="436">
        <v>10</v>
      </c>
      <c r="D20" s="436">
        <v>1</v>
      </c>
      <c r="E20" s="4"/>
      <c r="F20" s="4"/>
      <c r="G20" s="435">
        <v>16</v>
      </c>
      <c r="H20" s="435">
        <v>4</v>
      </c>
      <c r="I20" s="4"/>
      <c r="J20" s="4"/>
      <c r="K20" s="313" t="s">
        <v>361</v>
      </c>
      <c r="L20" s="313"/>
      <c r="M20" t="s">
        <v>602</v>
      </c>
      <c r="T20" s="313" t="s">
        <v>361</v>
      </c>
      <c r="U20" s="313"/>
      <c r="V20" t="s">
        <v>604</v>
      </c>
    </row>
    <row r="21" spans="3:25" x14ac:dyDescent="0.2">
      <c r="C21" s="436">
        <v>8</v>
      </c>
      <c r="D21" s="436">
        <v>1</v>
      </c>
      <c r="E21" s="4"/>
      <c r="F21" s="4"/>
      <c r="G21" s="435">
        <v>10</v>
      </c>
      <c r="H21" s="435">
        <v>3</v>
      </c>
      <c r="I21" s="4"/>
      <c r="J21" s="4"/>
      <c r="K21" t="s">
        <v>364</v>
      </c>
      <c r="L21">
        <v>0.61443217972283037</v>
      </c>
      <c r="T21" t="s">
        <v>364</v>
      </c>
      <c r="U21">
        <v>0.79223071612100682</v>
      </c>
    </row>
    <row r="22" spans="3:25" x14ac:dyDescent="0.2">
      <c r="C22" s="436">
        <v>9</v>
      </c>
      <c r="D22" s="436">
        <v>1</v>
      </c>
      <c r="E22" s="4"/>
      <c r="F22" s="4"/>
      <c r="G22" s="435">
        <v>8</v>
      </c>
      <c r="H22" s="435">
        <v>1</v>
      </c>
      <c r="I22" s="4"/>
      <c r="J22" s="4"/>
      <c r="K22" t="s">
        <v>365</v>
      </c>
      <c r="L22">
        <v>0.37752690347894852</v>
      </c>
      <c r="T22" t="s">
        <v>365</v>
      </c>
      <c r="U22">
        <v>0.62762950756560332</v>
      </c>
    </row>
    <row r="23" spans="3:25" x14ac:dyDescent="0.2">
      <c r="C23" s="436">
        <v>9</v>
      </c>
      <c r="D23" s="436">
        <v>1</v>
      </c>
      <c r="E23" s="4"/>
      <c r="F23" s="4"/>
      <c r="G23" s="435">
        <v>13</v>
      </c>
      <c r="H23" s="435">
        <v>3</v>
      </c>
      <c r="I23" s="4"/>
      <c r="J23" s="4"/>
      <c r="K23" t="s">
        <v>367</v>
      </c>
      <c r="L23">
        <v>0.37634797715977986</v>
      </c>
      <c r="T23" t="s">
        <v>367</v>
      </c>
      <c r="U23">
        <v>0.62730142783658616</v>
      </c>
    </row>
    <row r="24" spans="3:25" x14ac:dyDescent="0.2">
      <c r="C24" s="436">
        <v>8</v>
      </c>
      <c r="D24" s="436">
        <v>1</v>
      </c>
      <c r="E24" s="4"/>
      <c r="F24" s="4"/>
      <c r="G24" s="435">
        <v>10</v>
      </c>
      <c r="H24" s="435">
        <v>2</v>
      </c>
      <c r="I24" s="4"/>
      <c r="J24" s="4"/>
      <c r="K24" t="s">
        <v>368</v>
      </c>
      <c r="L24">
        <v>0.40269948618647577</v>
      </c>
      <c r="T24" t="s">
        <v>368</v>
      </c>
      <c r="U24">
        <v>0.62935181164567233</v>
      </c>
    </row>
    <row r="25" spans="3:25" ht="16" thickBot="1" x14ac:dyDescent="0.25">
      <c r="C25" s="436">
        <v>14</v>
      </c>
      <c r="D25" s="436">
        <v>1</v>
      </c>
      <c r="E25" s="4"/>
      <c r="F25" s="4"/>
      <c r="G25" s="435">
        <v>11</v>
      </c>
      <c r="H25" s="435">
        <v>3</v>
      </c>
      <c r="I25" s="4"/>
      <c r="J25" s="4"/>
      <c r="K25" s="1" t="s">
        <v>370</v>
      </c>
      <c r="L25" s="1">
        <v>530</v>
      </c>
      <c r="T25" s="1" t="s">
        <v>370</v>
      </c>
      <c r="U25" s="1">
        <v>1137</v>
      </c>
    </row>
    <row r="26" spans="3:25" x14ac:dyDescent="0.2">
      <c r="C26" s="436">
        <v>12</v>
      </c>
      <c r="D26" s="436">
        <v>1</v>
      </c>
      <c r="E26" s="4"/>
      <c r="F26" s="4"/>
      <c r="G26" s="435">
        <v>6</v>
      </c>
      <c r="H26" s="435">
        <v>1</v>
      </c>
      <c r="I26" s="4"/>
      <c r="J26" s="4"/>
    </row>
    <row r="27" spans="3:25" ht="16" thickBot="1" x14ac:dyDescent="0.25">
      <c r="C27" s="436">
        <v>18</v>
      </c>
      <c r="D27" s="436">
        <v>1</v>
      </c>
      <c r="E27" s="4"/>
      <c r="F27" s="4"/>
      <c r="G27" s="435">
        <v>15</v>
      </c>
      <c r="H27" s="435">
        <v>3</v>
      </c>
      <c r="I27" s="4"/>
      <c r="J27" s="4"/>
      <c r="K27" t="s">
        <v>374</v>
      </c>
      <c r="T27" t="s">
        <v>374</v>
      </c>
    </row>
    <row r="28" spans="3:25" x14ac:dyDescent="0.2">
      <c r="C28" s="436">
        <v>11</v>
      </c>
      <c r="D28" s="436">
        <v>2</v>
      </c>
      <c r="E28" s="4"/>
      <c r="F28" s="4"/>
      <c r="G28" s="435">
        <v>11</v>
      </c>
      <c r="H28" s="435">
        <v>1</v>
      </c>
      <c r="I28" s="4"/>
      <c r="J28" s="4"/>
      <c r="K28" s="312"/>
      <c r="L28" s="312" t="s">
        <v>376</v>
      </c>
      <c r="M28" s="312" t="s">
        <v>377</v>
      </c>
      <c r="N28" s="312" t="s">
        <v>378</v>
      </c>
      <c r="O28" s="312" t="s">
        <v>219</v>
      </c>
      <c r="P28" s="312" t="s">
        <v>379</v>
      </c>
      <c r="T28" s="312"/>
      <c r="U28" s="312" t="s">
        <v>376</v>
      </c>
      <c r="V28" s="312" t="s">
        <v>377</v>
      </c>
      <c r="W28" s="312" t="s">
        <v>378</v>
      </c>
      <c r="X28" s="312" t="s">
        <v>219</v>
      </c>
      <c r="Y28" s="312" t="s">
        <v>379</v>
      </c>
    </row>
    <row r="29" spans="3:25" x14ac:dyDescent="0.2">
      <c r="C29" s="436">
        <v>7</v>
      </c>
      <c r="D29" s="436">
        <v>1</v>
      </c>
      <c r="E29" s="4"/>
      <c r="F29" s="4"/>
      <c r="G29" s="435">
        <v>5</v>
      </c>
      <c r="H29" s="435">
        <v>1</v>
      </c>
      <c r="I29" s="4"/>
      <c r="J29" s="4"/>
      <c r="K29" t="s">
        <v>383</v>
      </c>
      <c r="L29">
        <v>1</v>
      </c>
      <c r="M29">
        <v>51.93060636080962</v>
      </c>
      <c r="N29">
        <v>51.93060636080962</v>
      </c>
      <c r="O29">
        <v>320.22943023714038</v>
      </c>
      <c r="P29">
        <v>2.5028648534422751E-56</v>
      </c>
      <c r="T29" t="s">
        <v>383</v>
      </c>
      <c r="U29">
        <v>1</v>
      </c>
      <c r="V29">
        <v>757.72380116721183</v>
      </c>
      <c r="W29">
        <v>757.72380116721183</v>
      </c>
      <c r="X29">
        <v>1913.0395817076228</v>
      </c>
      <c r="Y29">
        <v>1.0086210018374192E-245</v>
      </c>
    </row>
    <row r="30" spans="3:25" x14ac:dyDescent="0.2">
      <c r="C30" s="436">
        <v>18</v>
      </c>
      <c r="D30" s="436">
        <v>1</v>
      </c>
      <c r="E30" s="4"/>
      <c r="F30" s="4"/>
      <c r="G30" s="435">
        <v>10</v>
      </c>
      <c r="H30" s="435">
        <v>3</v>
      </c>
      <c r="I30" s="4"/>
      <c r="J30" s="4"/>
      <c r="K30" t="s">
        <v>388</v>
      </c>
      <c r="L30">
        <v>528</v>
      </c>
      <c r="M30">
        <v>85.624110620321645</v>
      </c>
      <c r="N30">
        <v>0.16216687617485159</v>
      </c>
      <c r="T30" t="s">
        <v>388</v>
      </c>
      <c r="U30">
        <v>1135</v>
      </c>
      <c r="V30">
        <v>449.55500270261791</v>
      </c>
      <c r="W30">
        <v>0.39608370282168981</v>
      </c>
    </row>
    <row r="31" spans="3:25" ht="16" thickBot="1" x14ac:dyDescent="0.25">
      <c r="C31" s="436">
        <v>7</v>
      </c>
      <c r="D31" s="436">
        <v>1</v>
      </c>
      <c r="E31" s="4"/>
      <c r="F31" s="4"/>
      <c r="G31" s="435">
        <v>14</v>
      </c>
      <c r="H31" s="435">
        <v>4</v>
      </c>
      <c r="I31" s="4"/>
      <c r="J31" s="4"/>
      <c r="K31" s="1" t="s">
        <v>390</v>
      </c>
      <c r="L31" s="1">
        <v>529</v>
      </c>
      <c r="M31" s="1">
        <v>137.55471698113126</v>
      </c>
      <c r="N31" s="1"/>
      <c r="O31" s="1"/>
      <c r="P31" s="1"/>
      <c r="T31" s="1" t="s">
        <v>390</v>
      </c>
      <c r="U31" s="1">
        <v>1136</v>
      </c>
      <c r="V31" s="1">
        <v>1207.2788038698297</v>
      </c>
      <c r="W31" s="1"/>
      <c r="X31" s="1"/>
      <c r="Y31" s="1"/>
    </row>
    <row r="32" spans="3:25" ht="16" thickBot="1" x14ac:dyDescent="0.25">
      <c r="C32" s="436">
        <v>10</v>
      </c>
      <c r="D32" s="436">
        <v>1</v>
      </c>
      <c r="E32" s="4"/>
      <c r="F32" s="4"/>
      <c r="G32" s="435">
        <v>10</v>
      </c>
      <c r="H32" s="435">
        <v>3</v>
      </c>
      <c r="I32" s="4"/>
      <c r="J32" s="4"/>
    </row>
    <row r="33" spans="3:28" x14ac:dyDescent="0.2">
      <c r="C33" s="436">
        <v>7</v>
      </c>
      <c r="D33" s="436">
        <v>1</v>
      </c>
      <c r="E33" s="4"/>
      <c r="F33" s="4"/>
      <c r="G33" s="435">
        <v>11</v>
      </c>
      <c r="H33" s="435">
        <v>3</v>
      </c>
      <c r="I33" s="4"/>
      <c r="J33" s="4"/>
      <c r="K33" s="312"/>
      <c r="L33" s="312" t="s">
        <v>393</v>
      </c>
      <c r="M33" s="312" t="s">
        <v>368</v>
      </c>
      <c r="N33" s="312" t="s">
        <v>394</v>
      </c>
      <c r="O33" s="312" t="s">
        <v>395</v>
      </c>
      <c r="P33" s="312" t="s">
        <v>396</v>
      </c>
      <c r="Q33" s="312" t="s">
        <v>397</v>
      </c>
      <c r="R33" s="312" t="s">
        <v>398</v>
      </c>
      <c r="S33" s="312" t="s">
        <v>399</v>
      </c>
      <c r="T33" s="312"/>
      <c r="U33" s="312" t="s">
        <v>393</v>
      </c>
      <c r="V33" s="312" t="s">
        <v>368</v>
      </c>
      <c r="W33" s="312" t="s">
        <v>394</v>
      </c>
      <c r="X33" s="312" t="s">
        <v>395</v>
      </c>
      <c r="Y33" s="312" t="s">
        <v>396</v>
      </c>
      <c r="Z33" s="312" t="s">
        <v>397</v>
      </c>
      <c r="AA33" s="312" t="s">
        <v>398</v>
      </c>
      <c r="AB33" s="312" t="s">
        <v>399</v>
      </c>
    </row>
    <row r="34" spans="3:28" x14ac:dyDescent="0.2">
      <c r="C34" s="436">
        <v>8</v>
      </c>
      <c r="D34" s="436">
        <v>1</v>
      </c>
      <c r="E34" s="4"/>
      <c r="F34" s="4"/>
      <c r="G34" s="435">
        <v>7</v>
      </c>
      <c r="H34" s="435">
        <v>1</v>
      </c>
      <c r="I34" s="4"/>
      <c r="J34" s="4"/>
      <c r="K34" t="s">
        <v>402</v>
      </c>
      <c r="L34">
        <v>0.58609441996798506</v>
      </c>
      <c r="M34">
        <v>4.5207891555710158E-2</v>
      </c>
      <c r="N34">
        <v>12.964427222750142</v>
      </c>
      <c r="O34">
        <v>1.4467422827508638E-33</v>
      </c>
      <c r="P34">
        <v>0.49728500596573832</v>
      </c>
      <c r="Q34">
        <v>0.67490383397023179</v>
      </c>
      <c r="R34">
        <v>0.49728500596573832</v>
      </c>
      <c r="S34">
        <v>0.67490383397023179</v>
      </c>
      <c r="T34" t="s">
        <v>402</v>
      </c>
      <c r="U34">
        <v>-1.4084812272352032E-2</v>
      </c>
      <c r="V34">
        <v>5.6423732909167655E-2</v>
      </c>
      <c r="W34">
        <v>-0.24962567249894857</v>
      </c>
      <c r="X34">
        <v>0.8029220126322425</v>
      </c>
      <c r="Y34">
        <v>-0.124791351999053</v>
      </c>
      <c r="Z34">
        <v>9.6621727454348938E-2</v>
      </c>
      <c r="AA34">
        <v>-0.124791351999053</v>
      </c>
      <c r="AB34">
        <v>9.6621727454348938E-2</v>
      </c>
    </row>
    <row r="35" spans="3:28" ht="16" thickBot="1" x14ac:dyDescent="0.25">
      <c r="C35" s="436">
        <v>6</v>
      </c>
      <c r="D35" s="436">
        <v>1</v>
      </c>
      <c r="E35" s="4"/>
      <c r="F35" s="4"/>
      <c r="G35" s="435">
        <v>9</v>
      </c>
      <c r="H35" s="435">
        <v>2</v>
      </c>
      <c r="I35" s="4"/>
      <c r="J35" s="4"/>
      <c r="K35" s="1" t="s">
        <v>451</v>
      </c>
      <c r="L35" s="1">
        <v>6.2469577724279968E-2</v>
      </c>
      <c r="M35" s="1">
        <v>3.4909043462036274E-3</v>
      </c>
      <c r="N35" s="1">
        <v>17.894955441049504</v>
      </c>
      <c r="O35" s="1">
        <v>2.5028648534370653E-56</v>
      </c>
      <c r="P35" s="1">
        <v>5.5611811111957579E-2</v>
      </c>
      <c r="Q35" s="1">
        <v>6.9327344336602356E-2</v>
      </c>
      <c r="R35" s="1">
        <v>5.5611811111957579E-2</v>
      </c>
      <c r="S35" s="1">
        <v>6.9327344336602356E-2</v>
      </c>
      <c r="T35" s="1" t="s">
        <v>451</v>
      </c>
      <c r="U35" s="1">
        <v>0.22412158288844974</v>
      </c>
      <c r="V35" s="1">
        <v>5.1241484508513166E-3</v>
      </c>
      <c r="W35" s="1">
        <v>43.73830794289627</v>
      </c>
      <c r="X35" s="1">
        <v>1.0086210018373046E-245</v>
      </c>
      <c r="Y35" s="1">
        <v>0.21406771521980575</v>
      </c>
      <c r="Z35" s="1">
        <v>0.23417545055709374</v>
      </c>
      <c r="AA35" s="1">
        <v>0.21406771521980575</v>
      </c>
      <c r="AB35" s="1">
        <v>0.23417545055709374</v>
      </c>
    </row>
    <row r="36" spans="3:28" x14ac:dyDescent="0.2">
      <c r="C36" s="436">
        <v>19</v>
      </c>
      <c r="D36" s="436">
        <v>1</v>
      </c>
      <c r="E36" s="4"/>
      <c r="F36" s="4"/>
      <c r="G36" s="435">
        <v>7</v>
      </c>
      <c r="H36" s="435">
        <v>1</v>
      </c>
      <c r="I36" s="4"/>
      <c r="J36" s="4"/>
    </row>
    <row r="37" spans="3:28" x14ac:dyDescent="0.2">
      <c r="C37" s="436">
        <v>8</v>
      </c>
      <c r="D37" s="436">
        <v>1</v>
      </c>
      <c r="E37" s="4"/>
      <c r="F37" s="4"/>
      <c r="G37" s="435">
        <v>10</v>
      </c>
      <c r="H37" s="435">
        <v>3</v>
      </c>
      <c r="I37" s="4"/>
      <c r="J37" s="4"/>
    </row>
    <row r="38" spans="3:28" x14ac:dyDescent="0.2">
      <c r="C38" s="436">
        <v>23</v>
      </c>
      <c r="D38" s="436">
        <v>2</v>
      </c>
      <c r="E38" s="4"/>
      <c r="F38" s="4"/>
      <c r="G38" s="435">
        <v>10</v>
      </c>
      <c r="H38" s="435">
        <v>2</v>
      </c>
      <c r="I38" s="4"/>
      <c r="J38" s="4"/>
    </row>
    <row r="39" spans="3:28" x14ac:dyDescent="0.2">
      <c r="C39" s="436">
        <v>8</v>
      </c>
      <c r="D39" s="436">
        <v>1</v>
      </c>
      <c r="E39" s="4"/>
      <c r="F39" s="4"/>
      <c r="G39" s="435">
        <v>12</v>
      </c>
      <c r="H39" s="435">
        <v>3</v>
      </c>
      <c r="I39" s="4"/>
      <c r="J39" s="4"/>
    </row>
    <row r="40" spans="3:28" x14ac:dyDescent="0.2">
      <c r="C40" s="436">
        <v>8</v>
      </c>
      <c r="D40" s="436">
        <v>1</v>
      </c>
      <c r="E40" s="4"/>
      <c r="F40" s="4"/>
      <c r="G40" s="435">
        <v>10</v>
      </c>
      <c r="H40" s="435">
        <v>2</v>
      </c>
      <c r="I40" s="4"/>
      <c r="J40" s="4"/>
    </row>
    <row r="41" spans="3:28" x14ac:dyDescent="0.2">
      <c r="C41" s="436">
        <v>11</v>
      </c>
      <c r="D41" s="436">
        <v>1</v>
      </c>
      <c r="E41" s="4"/>
      <c r="F41" s="4"/>
      <c r="G41" s="435">
        <v>7</v>
      </c>
      <c r="H41" s="435">
        <v>1</v>
      </c>
      <c r="I41" s="4"/>
      <c r="J41" s="4"/>
    </row>
    <row r="42" spans="3:28" x14ac:dyDescent="0.2">
      <c r="C42" s="436">
        <v>13</v>
      </c>
      <c r="D42" s="436">
        <v>1</v>
      </c>
      <c r="E42" s="4"/>
      <c r="F42" s="4"/>
      <c r="G42" s="435">
        <v>15</v>
      </c>
      <c r="H42" s="435">
        <v>3</v>
      </c>
      <c r="I42" s="4"/>
      <c r="J42" s="4"/>
    </row>
    <row r="43" spans="3:28" x14ac:dyDescent="0.2">
      <c r="C43" s="436">
        <v>20</v>
      </c>
      <c r="D43" s="436">
        <v>2</v>
      </c>
      <c r="E43" s="4"/>
      <c r="F43" s="4"/>
      <c r="G43" s="435">
        <v>6</v>
      </c>
      <c r="H43" s="435">
        <v>1</v>
      </c>
      <c r="I43" s="4"/>
      <c r="J43" s="4"/>
    </row>
    <row r="44" spans="3:28" x14ac:dyDescent="0.2">
      <c r="C44" s="436">
        <v>14</v>
      </c>
      <c r="D44" s="436">
        <v>1</v>
      </c>
      <c r="E44" s="4"/>
      <c r="F44" s="4"/>
      <c r="G44" s="435">
        <v>12</v>
      </c>
      <c r="H44" s="435">
        <v>3</v>
      </c>
      <c r="I44" s="4"/>
      <c r="J44" s="4"/>
    </row>
    <row r="45" spans="3:28" x14ac:dyDescent="0.2">
      <c r="C45" s="436">
        <v>10</v>
      </c>
      <c r="D45" s="436">
        <v>1</v>
      </c>
      <c r="E45" s="4"/>
      <c r="F45" s="4"/>
      <c r="G45" s="435">
        <v>14</v>
      </c>
      <c r="H45" s="435">
        <v>3</v>
      </c>
      <c r="I45" s="4"/>
      <c r="J45" s="4"/>
    </row>
    <row r="46" spans="3:28" x14ac:dyDescent="0.2">
      <c r="C46" s="436">
        <v>6</v>
      </c>
      <c r="D46" s="436">
        <v>1</v>
      </c>
      <c r="E46" s="4"/>
      <c r="F46" s="4"/>
      <c r="G46" s="435">
        <v>13</v>
      </c>
      <c r="H46" s="435">
        <v>2</v>
      </c>
      <c r="I46" s="4"/>
      <c r="J46" s="4"/>
    </row>
    <row r="47" spans="3:28" x14ac:dyDescent="0.2">
      <c r="C47" s="436">
        <v>6</v>
      </c>
      <c r="D47" s="436">
        <v>1</v>
      </c>
      <c r="E47" s="4"/>
      <c r="F47" s="4"/>
      <c r="G47" s="435">
        <v>18</v>
      </c>
      <c r="H47" s="435">
        <v>4</v>
      </c>
      <c r="I47" s="4"/>
      <c r="J47" s="4"/>
    </row>
    <row r="48" spans="3:28" x14ac:dyDescent="0.2">
      <c r="C48" s="436">
        <v>17</v>
      </c>
      <c r="D48" s="436">
        <v>1</v>
      </c>
      <c r="E48" s="4"/>
      <c r="F48" s="4"/>
      <c r="G48" s="435">
        <v>16</v>
      </c>
      <c r="H48" s="435">
        <v>4</v>
      </c>
      <c r="I48" s="4"/>
      <c r="J48" s="4"/>
    </row>
    <row r="49" spans="3:10" x14ac:dyDescent="0.2">
      <c r="C49" s="436">
        <v>9</v>
      </c>
      <c r="D49" s="436">
        <v>1</v>
      </c>
      <c r="E49" s="4"/>
      <c r="F49" s="4"/>
      <c r="G49" s="435">
        <v>13</v>
      </c>
      <c r="H49" s="435">
        <v>3</v>
      </c>
      <c r="I49" s="4"/>
      <c r="J49" s="4"/>
    </row>
    <row r="50" spans="3:10" x14ac:dyDescent="0.2">
      <c r="C50" s="436">
        <v>16</v>
      </c>
      <c r="D50" s="436">
        <v>1</v>
      </c>
      <c r="E50" s="4"/>
      <c r="F50" s="4"/>
      <c r="G50" s="435">
        <v>11</v>
      </c>
      <c r="H50" s="435">
        <v>3</v>
      </c>
      <c r="I50" s="4"/>
      <c r="J50" s="4"/>
    </row>
    <row r="51" spans="3:10" x14ac:dyDescent="0.2">
      <c r="C51" s="436">
        <v>8</v>
      </c>
      <c r="D51" s="436">
        <v>1</v>
      </c>
      <c r="E51" s="4"/>
      <c r="F51" s="4"/>
      <c r="G51" s="435">
        <v>6</v>
      </c>
      <c r="H51" s="435">
        <v>1</v>
      </c>
      <c r="I51" s="4"/>
      <c r="J51" s="4"/>
    </row>
    <row r="52" spans="3:10" x14ac:dyDescent="0.2">
      <c r="C52" s="436">
        <v>21</v>
      </c>
      <c r="D52" s="436">
        <v>2</v>
      </c>
      <c r="E52" s="4"/>
      <c r="F52" s="4"/>
      <c r="G52" s="435">
        <v>8</v>
      </c>
      <c r="H52" s="435">
        <v>2</v>
      </c>
      <c r="I52" s="4"/>
      <c r="J52" s="4"/>
    </row>
    <row r="53" spans="3:10" x14ac:dyDescent="0.2">
      <c r="C53" s="436">
        <v>12</v>
      </c>
      <c r="D53" s="436">
        <v>1</v>
      </c>
      <c r="E53" s="4"/>
      <c r="F53" s="4"/>
      <c r="G53" s="435">
        <v>6</v>
      </c>
      <c r="H53" s="435">
        <v>1</v>
      </c>
      <c r="I53" s="4"/>
      <c r="J53" s="4"/>
    </row>
    <row r="54" spans="3:10" x14ac:dyDescent="0.2">
      <c r="C54" s="436">
        <v>11</v>
      </c>
      <c r="D54" s="436">
        <v>1</v>
      </c>
      <c r="E54" s="4"/>
      <c r="F54" s="4"/>
      <c r="G54" s="435">
        <v>7</v>
      </c>
      <c r="H54" s="435">
        <v>1</v>
      </c>
      <c r="I54" s="4"/>
      <c r="J54" s="4"/>
    </row>
    <row r="55" spans="3:10" x14ac:dyDescent="0.2">
      <c r="C55" s="436">
        <v>6</v>
      </c>
      <c r="D55" s="436">
        <v>1</v>
      </c>
      <c r="E55" s="4"/>
      <c r="F55" s="4"/>
      <c r="G55" s="435">
        <v>7</v>
      </c>
      <c r="H55" s="435">
        <v>1</v>
      </c>
      <c r="I55" s="4"/>
      <c r="J55" s="4"/>
    </row>
    <row r="56" spans="3:10" x14ac:dyDescent="0.2">
      <c r="C56" s="436">
        <v>17</v>
      </c>
      <c r="D56" s="436">
        <v>2</v>
      </c>
      <c r="E56" s="4"/>
      <c r="F56" s="4"/>
      <c r="G56" s="435">
        <v>8</v>
      </c>
      <c r="H56" s="435">
        <v>1</v>
      </c>
      <c r="I56" s="4"/>
      <c r="J56" s="4"/>
    </row>
    <row r="57" spans="3:10" x14ac:dyDescent="0.2">
      <c r="C57" s="436">
        <v>20</v>
      </c>
      <c r="D57" s="436">
        <v>2</v>
      </c>
      <c r="E57" s="4"/>
      <c r="F57" s="4"/>
      <c r="G57" s="435">
        <v>7</v>
      </c>
      <c r="H57" s="435">
        <v>1</v>
      </c>
      <c r="I57" s="4"/>
      <c r="J57" s="4"/>
    </row>
    <row r="58" spans="3:10" x14ac:dyDescent="0.2">
      <c r="C58" s="436">
        <v>12</v>
      </c>
      <c r="D58" s="436">
        <v>1</v>
      </c>
      <c r="E58" s="4"/>
      <c r="F58" s="4"/>
      <c r="G58" s="435">
        <v>16</v>
      </c>
      <c r="H58" s="435">
        <v>4</v>
      </c>
      <c r="I58" s="4"/>
      <c r="J58" s="4"/>
    </row>
    <row r="59" spans="3:10" x14ac:dyDescent="0.2">
      <c r="C59" s="436">
        <v>23</v>
      </c>
      <c r="D59" s="436">
        <v>2</v>
      </c>
      <c r="E59" s="4"/>
      <c r="F59" s="4"/>
      <c r="G59" s="435">
        <v>18</v>
      </c>
      <c r="H59" s="435">
        <v>3</v>
      </c>
      <c r="I59" s="4"/>
      <c r="J59" s="4"/>
    </row>
    <row r="60" spans="3:10" x14ac:dyDescent="0.2">
      <c r="C60" s="436">
        <v>14</v>
      </c>
      <c r="D60" s="436">
        <v>1</v>
      </c>
      <c r="E60" s="4"/>
      <c r="F60" s="4"/>
      <c r="G60" s="435">
        <v>12</v>
      </c>
      <c r="H60" s="435">
        <v>1</v>
      </c>
      <c r="I60" s="4"/>
      <c r="J60" s="4"/>
    </row>
    <row r="61" spans="3:10" x14ac:dyDescent="0.2">
      <c r="C61" s="436">
        <v>21</v>
      </c>
      <c r="D61" s="436">
        <v>1</v>
      </c>
      <c r="E61" s="4"/>
      <c r="F61" s="4"/>
      <c r="G61" s="435">
        <v>11</v>
      </c>
      <c r="H61" s="435">
        <v>2</v>
      </c>
      <c r="I61" s="4"/>
      <c r="J61" s="4"/>
    </row>
    <row r="62" spans="3:10" x14ac:dyDescent="0.2">
      <c r="C62" s="436">
        <v>11</v>
      </c>
      <c r="D62" s="436">
        <v>1</v>
      </c>
      <c r="E62" s="4"/>
      <c r="F62" s="4"/>
      <c r="G62" s="435">
        <v>6</v>
      </c>
      <c r="H62" s="435">
        <v>1</v>
      </c>
      <c r="I62" s="4"/>
      <c r="J62" s="4"/>
    </row>
    <row r="63" spans="3:10" x14ac:dyDescent="0.2">
      <c r="C63" s="436">
        <v>12</v>
      </c>
      <c r="D63" s="436">
        <v>1</v>
      </c>
      <c r="E63" s="4"/>
      <c r="F63" s="4"/>
      <c r="G63" s="435">
        <v>7</v>
      </c>
      <c r="H63" s="435">
        <v>1</v>
      </c>
      <c r="I63" s="4"/>
      <c r="J63" s="4"/>
    </row>
    <row r="64" spans="3:10" x14ac:dyDescent="0.2">
      <c r="C64" s="436">
        <v>12</v>
      </c>
      <c r="D64" s="436">
        <v>1</v>
      </c>
      <c r="E64" s="4"/>
      <c r="F64" s="4"/>
      <c r="G64" s="435">
        <v>7</v>
      </c>
      <c r="H64" s="435">
        <v>1</v>
      </c>
      <c r="I64" s="4"/>
      <c r="J64" s="4"/>
    </row>
    <row r="65" spans="3:10" x14ac:dyDescent="0.2">
      <c r="C65" s="436">
        <v>15</v>
      </c>
      <c r="D65" s="436">
        <v>1</v>
      </c>
      <c r="E65" s="4"/>
      <c r="F65" s="4"/>
      <c r="G65" s="435">
        <v>7</v>
      </c>
      <c r="H65" s="435">
        <v>1</v>
      </c>
      <c r="I65" s="4"/>
      <c r="J65" s="4"/>
    </row>
    <row r="66" spans="3:10" x14ac:dyDescent="0.2">
      <c r="C66" s="436">
        <v>13</v>
      </c>
      <c r="D66" s="436">
        <v>1</v>
      </c>
      <c r="E66" s="4"/>
      <c r="F66" s="4"/>
      <c r="G66" s="435">
        <v>7</v>
      </c>
      <c r="H66" s="435">
        <v>1</v>
      </c>
      <c r="I66" s="4"/>
      <c r="J66" s="4"/>
    </row>
    <row r="67" spans="3:10" x14ac:dyDescent="0.2">
      <c r="C67" s="436">
        <v>15</v>
      </c>
      <c r="D67" s="436">
        <v>1</v>
      </c>
      <c r="E67" s="4"/>
      <c r="F67" s="4"/>
      <c r="G67" s="435">
        <v>7</v>
      </c>
      <c r="H67" s="435">
        <v>1</v>
      </c>
      <c r="I67" s="4"/>
      <c r="J67" s="4"/>
    </row>
    <row r="68" spans="3:10" x14ac:dyDescent="0.2">
      <c r="C68" s="436">
        <v>12</v>
      </c>
      <c r="D68" s="436">
        <v>1</v>
      </c>
      <c r="E68" s="4"/>
      <c r="F68" s="4"/>
      <c r="G68" s="435">
        <v>8</v>
      </c>
      <c r="H68" s="435">
        <v>1</v>
      </c>
      <c r="I68" s="4"/>
      <c r="J68" s="4"/>
    </row>
    <row r="69" spans="3:10" x14ac:dyDescent="0.2">
      <c r="C69" s="436">
        <v>15</v>
      </c>
      <c r="D69" s="436">
        <v>1</v>
      </c>
      <c r="E69" s="4"/>
      <c r="F69" s="4"/>
      <c r="G69" s="435">
        <v>7</v>
      </c>
      <c r="H69" s="435">
        <v>1</v>
      </c>
      <c r="I69" s="4"/>
      <c r="J69" s="4"/>
    </row>
    <row r="70" spans="3:10" x14ac:dyDescent="0.2">
      <c r="C70" s="436">
        <v>9</v>
      </c>
      <c r="D70" s="436">
        <v>1</v>
      </c>
      <c r="E70" s="4"/>
      <c r="F70" s="4"/>
      <c r="G70" s="435">
        <v>10</v>
      </c>
      <c r="H70" s="435">
        <v>2</v>
      </c>
      <c r="I70" s="4"/>
      <c r="J70" s="4"/>
    </row>
    <row r="71" spans="3:10" x14ac:dyDescent="0.2">
      <c r="C71" s="436">
        <v>21</v>
      </c>
      <c r="D71" s="436">
        <v>1</v>
      </c>
      <c r="E71" s="4"/>
      <c r="F71" s="4"/>
      <c r="G71" s="435">
        <v>6</v>
      </c>
      <c r="H71" s="435">
        <v>1</v>
      </c>
      <c r="I71" s="4"/>
      <c r="J71" s="4"/>
    </row>
    <row r="72" spans="3:10" x14ac:dyDescent="0.2">
      <c r="C72" s="436">
        <v>9</v>
      </c>
      <c r="D72" s="436">
        <v>1</v>
      </c>
      <c r="E72" s="4"/>
      <c r="F72" s="4"/>
      <c r="G72" s="435">
        <v>6</v>
      </c>
      <c r="H72" s="435">
        <v>1</v>
      </c>
      <c r="I72" s="4"/>
      <c r="J72" s="4"/>
    </row>
    <row r="73" spans="3:10" x14ac:dyDescent="0.2">
      <c r="C73" s="436">
        <v>8</v>
      </c>
      <c r="D73" s="436">
        <v>1</v>
      </c>
      <c r="E73" s="4"/>
      <c r="F73" s="4"/>
      <c r="G73" s="435">
        <v>12</v>
      </c>
      <c r="H73" s="435">
        <v>3</v>
      </c>
      <c r="I73" s="4"/>
      <c r="J73" s="4"/>
    </row>
    <row r="74" spans="3:10" x14ac:dyDescent="0.2">
      <c r="C74" s="436">
        <v>17</v>
      </c>
      <c r="D74" s="436">
        <v>1</v>
      </c>
      <c r="E74" s="4"/>
      <c r="F74" s="4"/>
      <c r="G74" s="435">
        <v>6</v>
      </c>
      <c r="H74" s="435">
        <v>1</v>
      </c>
      <c r="I74" s="4"/>
      <c r="J74" s="4"/>
    </row>
    <row r="75" spans="3:10" x14ac:dyDescent="0.2">
      <c r="C75" s="436">
        <v>8</v>
      </c>
      <c r="D75" s="436">
        <v>1</v>
      </c>
      <c r="E75" s="4"/>
      <c r="F75" s="4"/>
      <c r="G75" s="435">
        <v>10</v>
      </c>
      <c r="H75" s="435">
        <v>2</v>
      </c>
      <c r="I75" s="4"/>
      <c r="J75" s="4"/>
    </row>
    <row r="76" spans="3:10" x14ac:dyDescent="0.2">
      <c r="C76" s="436">
        <v>8</v>
      </c>
      <c r="D76" s="436">
        <v>1</v>
      </c>
      <c r="E76" s="4"/>
      <c r="F76" s="4"/>
      <c r="G76" s="435">
        <v>11.08</v>
      </c>
      <c r="H76" s="435">
        <v>2</v>
      </c>
      <c r="I76" s="4"/>
      <c r="J76" s="4"/>
    </row>
    <row r="77" spans="3:10" x14ac:dyDescent="0.2">
      <c r="C77" s="436">
        <v>8</v>
      </c>
      <c r="D77" s="436">
        <v>1</v>
      </c>
      <c r="E77" s="4"/>
      <c r="F77" s="4"/>
      <c r="G77" s="435">
        <v>8</v>
      </c>
      <c r="H77" s="435">
        <v>1</v>
      </c>
      <c r="I77" s="4"/>
      <c r="J77" s="4"/>
    </row>
    <row r="78" spans="3:10" x14ac:dyDescent="0.2">
      <c r="C78" s="436">
        <v>6</v>
      </c>
      <c r="D78" s="436">
        <v>1</v>
      </c>
      <c r="E78" s="4"/>
      <c r="F78" s="4"/>
      <c r="G78" s="435">
        <v>11</v>
      </c>
      <c r="H78" s="435">
        <v>2</v>
      </c>
      <c r="I78" s="4"/>
      <c r="J78" s="4"/>
    </row>
    <row r="79" spans="3:10" x14ac:dyDescent="0.2">
      <c r="C79" s="436">
        <v>9</v>
      </c>
      <c r="D79" s="436">
        <v>1</v>
      </c>
      <c r="E79" s="4"/>
      <c r="F79" s="4"/>
      <c r="G79" s="435">
        <v>7</v>
      </c>
      <c r="H79" s="435">
        <v>1</v>
      </c>
      <c r="I79" s="4"/>
      <c r="J79" s="4"/>
    </row>
    <row r="80" spans="3:10" x14ac:dyDescent="0.2">
      <c r="C80" s="436">
        <v>23</v>
      </c>
      <c r="D80" s="436">
        <v>2</v>
      </c>
      <c r="E80" s="4"/>
      <c r="F80" s="4"/>
      <c r="G80" s="435">
        <v>14</v>
      </c>
      <c r="H80" s="435">
        <v>3</v>
      </c>
      <c r="I80" s="4"/>
      <c r="J80" s="4"/>
    </row>
    <row r="81" spans="3:10" x14ac:dyDescent="0.2">
      <c r="C81" s="436">
        <v>20</v>
      </c>
      <c r="D81" s="436">
        <v>1</v>
      </c>
      <c r="E81" s="4"/>
      <c r="F81" s="4"/>
      <c r="G81" s="435">
        <v>11</v>
      </c>
      <c r="H81" s="435">
        <v>2</v>
      </c>
      <c r="I81" s="4"/>
      <c r="J81" s="4"/>
    </row>
    <row r="82" spans="3:10" x14ac:dyDescent="0.2">
      <c r="C82" s="436">
        <v>12</v>
      </c>
      <c r="D82" s="436">
        <v>1</v>
      </c>
      <c r="E82" s="4"/>
      <c r="F82" s="4"/>
      <c r="G82" s="435">
        <v>11</v>
      </c>
      <c r="H82" s="435">
        <v>2</v>
      </c>
      <c r="I82" s="4"/>
      <c r="J82" s="4"/>
    </row>
    <row r="83" spans="3:10" x14ac:dyDescent="0.2">
      <c r="C83" s="436">
        <v>14</v>
      </c>
      <c r="D83" s="436">
        <v>1</v>
      </c>
      <c r="E83" s="4"/>
      <c r="F83" s="4"/>
      <c r="G83" s="435">
        <v>14</v>
      </c>
      <c r="H83" s="435">
        <v>3</v>
      </c>
      <c r="I83" s="4"/>
      <c r="J83" s="4"/>
    </row>
    <row r="84" spans="3:10" x14ac:dyDescent="0.2">
      <c r="C84" s="436">
        <v>8</v>
      </c>
      <c r="D84" s="436">
        <v>1</v>
      </c>
      <c r="E84" s="4"/>
      <c r="F84" s="4"/>
      <c r="G84" s="435">
        <v>6</v>
      </c>
      <c r="H84" s="435">
        <v>1</v>
      </c>
      <c r="I84" s="4"/>
      <c r="J84" s="4"/>
    </row>
    <row r="85" spans="3:10" x14ac:dyDescent="0.2">
      <c r="C85" s="436">
        <v>11</v>
      </c>
      <c r="D85" s="436">
        <v>1</v>
      </c>
      <c r="E85" s="4"/>
      <c r="F85" s="4"/>
      <c r="G85" s="435">
        <v>13</v>
      </c>
      <c r="H85" s="435">
        <v>2</v>
      </c>
      <c r="I85" s="4"/>
      <c r="J85" s="4"/>
    </row>
    <row r="86" spans="3:10" x14ac:dyDescent="0.2">
      <c r="C86" s="436">
        <v>10</v>
      </c>
      <c r="D86" s="436">
        <v>1</v>
      </c>
      <c r="E86" s="4"/>
      <c r="F86" s="4"/>
      <c r="G86" s="435">
        <v>7</v>
      </c>
      <c r="H86" s="435">
        <v>1</v>
      </c>
      <c r="I86" s="4"/>
      <c r="J86" s="4"/>
    </row>
    <row r="87" spans="3:10" x14ac:dyDescent="0.2">
      <c r="C87" s="436">
        <v>6</v>
      </c>
      <c r="D87" s="436">
        <v>1</v>
      </c>
      <c r="E87" s="4"/>
      <c r="F87" s="4"/>
      <c r="G87" s="435">
        <v>11</v>
      </c>
      <c r="H87" s="435">
        <v>3</v>
      </c>
      <c r="I87" s="4"/>
      <c r="J87" s="4"/>
    </row>
    <row r="88" spans="3:10" x14ac:dyDescent="0.2">
      <c r="C88" s="436">
        <v>22</v>
      </c>
      <c r="D88" s="436">
        <v>2</v>
      </c>
      <c r="E88" s="4"/>
      <c r="F88" s="4"/>
      <c r="G88" s="435">
        <v>13</v>
      </c>
      <c r="H88" s="435">
        <v>3</v>
      </c>
      <c r="I88" s="4"/>
      <c r="J88" s="4"/>
    </row>
    <row r="89" spans="3:10" x14ac:dyDescent="0.2">
      <c r="C89" s="436">
        <v>16</v>
      </c>
      <c r="D89" s="436">
        <v>1</v>
      </c>
      <c r="E89" s="4"/>
      <c r="F89" s="4"/>
      <c r="G89" s="435">
        <v>12</v>
      </c>
      <c r="H89" s="435">
        <v>3</v>
      </c>
      <c r="I89" s="4"/>
      <c r="J89" s="4"/>
    </row>
    <row r="90" spans="3:10" x14ac:dyDescent="0.2">
      <c r="C90" s="436">
        <v>13</v>
      </c>
      <c r="D90" s="436">
        <v>1</v>
      </c>
      <c r="E90" s="4"/>
      <c r="F90" s="4"/>
      <c r="G90" s="435">
        <v>11</v>
      </c>
      <c r="H90" s="435">
        <v>3</v>
      </c>
      <c r="I90" s="4"/>
      <c r="J90" s="4"/>
    </row>
    <row r="91" spans="3:10" x14ac:dyDescent="0.2">
      <c r="C91" s="436">
        <v>11</v>
      </c>
      <c r="D91" s="436">
        <v>1</v>
      </c>
      <c r="E91" s="4"/>
      <c r="F91" s="4"/>
      <c r="G91" s="435">
        <v>8</v>
      </c>
      <c r="H91" s="435">
        <v>1</v>
      </c>
      <c r="I91" s="4"/>
      <c r="J91" s="4"/>
    </row>
    <row r="92" spans="3:10" x14ac:dyDescent="0.2">
      <c r="C92" s="436">
        <v>14</v>
      </c>
      <c r="D92" s="436">
        <v>1</v>
      </c>
      <c r="E92" s="4"/>
      <c r="F92" s="4"/>
      <c r="G92" s="435">
        <v>10</v>
      </c>
      <c r="H92" s="435">
        <v>2</v>
      </c>
      <c r="I92" s="4"/>
      <c r="J92" s="4"/>
    </row>
    <row r="93" spans="3:10" x14ac:dyDescent="0.2">
      <c r="C93" s="436">
        <v>9</v>
      </c>
      <c r="D93" s="436">
        <v>1</v>
      </c>
      <c r="E93" s="4"/>
      <c r="F93" s="4"/>
      <c r="G93" s="435">
        <v>11</v>
      </c>
      <c r="H93" s="435">
        <v>3</v>
      </c>
      <c r="I93" s="4"/>
      <c r="J93" s="4"/>
    </row>
    <row r="94" spans="3:10" x14ac:dyDescent="0.2">
      <c r="C94" s="436">
        <v>20</v>
      </c>
      <c r="D94" s="436">
        <v>2</v>
      </c>
      <c r="E94" s="4"/>
      <c r="F94" s="4"/>
      <c r="G94" s="435">
        <v>7</v>
      </c>
      <c r="H94" s="435">
        <v>1</v>
      </c>
      <c r="I94" s="4"/>
      <c r="J94" s="4"/>
    </row>
    <row r="95" spans="3:10" x14ac:dyDescent="0.2">
      <c r="C95" s="436">
        <v>13</v>
      </c>
      <c r="D95" s="436">
        <v>1</v>
      </c>
      <c r="E95" s="4"/>
      <c r="F95" s="4"/>
      <c r="G95" s="435">
        <v>6</v>
      </c>
      <c r="H95" s="435">
        <v>1</v>
      </c>
      <c r="I95" s="4"/>
      <c r="J95" s="4"/>
    </row>
    <row r="96" spans="3:10" x14ac:dyDescent="0.2">
      <c r="C96" s="436">
        <v>19</v>
      </c>
      <c r="D96" s="436">
        <v>2</v>
      </c>
      <c r="E96" s="4"/>
      <c r="F96" s="4"/>
      <c r="G96" s="435">
        <v>10</v>
      </c>
      <c r="H96" s="435">
        <v>2</v>
      </c>
      <c r="I96" s="4"/>
      <c r="J96" s="4"/>
    </row>
    <row r="97" spans="3:10" x14ac:dyDescent="0.2">
      <c r="C97" s="436">
        <v>8</v>
      </c>
      <c r="D97" s="436">
        <v>1</v>
      </c>
      <c r="E97" s="4"/>
      <c r="F97" s="4"/>
      <c r="G97" s="435">
        <v>5</v>
      </c>
      <c r="H97" s="435">
        <v>1</v>
      </c>
      <c r="I97" s="4"/>
      <c r="J97" s="4"/>
    </row>
    <row r="98" spans="3:10" x14ac:dyDescent="0.2">
      <c r="C98" s="436">
        <v>8</v>
      </c>
      <c r="D98" s="436">
        <v>1</v>
      </c>
      <c r="E98" s="4"/>
      <c r="F98" s="4"/>
      <c r="G98" s="435">
        <v>8</v>
      </c>
      <c r="H98" s="435">
        <v>2</v>
      </c>
      <c r="I98" s="4"/>
      <c r="J98" s="4"/>
    </row>
    <row r="99" spans="3:10" x14ac:dyDescent="0.2">
      <c r="C99" s="436">
        <v>6</v>
      </c>
      <c r="D99" s="436">
        <v>1</v>
      </c>
      <c r="E99" s="4"/>
      <c r="F99" s="4"/>
      <c r="G99" s="435">
        <v>11</v>
      </c>
      <c r="H99" s="435">
        <v>3</v>
      </c>
      <c r="I99" s="4"/>
      <c r="J99" s="4"/>
    </row>
    <row r="100" spans="3:10" x14ac:dyDescent="0.2">
      <c r="C100" s="436">
        <v>17</v>
      </c>
      <c r="D100" s="436">
        <v>2</v>
      </c>
      <c r="E100" s="4"/>
      <c r="F100" s="4"/>
      <c r="G100" s="435">
        <v>6</v>
      </c>
      <c r="H100" s="435">
        <v>1</v>
      </c>
      <c r="I100" s="4"/>
      <c r="J100" s="4"/>
    </row>
    <row r="101" spans="3:10" x14ac:dyDescent="0.2">
      <c r="C101" s="436">
        <v>12</v>
      </c>
      <c r="D101" s="436">
        <v>1</v>
      </c>
      <c r="G101" s="435">
        <v>6</v>
      </c>
      <c r="H101" s="435">
        <v>1</v>
      </c>
      <c r="I101" s="4"/>
      <c r="J101" s="4"/>
    </row>
    <row r="102" spans="3:10" x14ac:dyDescent="0.2">
      <c r="C102" s="436">
        <v>8</v>
      </c>
      <c r="D102" s="436">
        <v>1</v>
      </c>
      <c r="G102" s="435">
        <v>12</v>
      </c>
      <c r="H102" s="435">
        <v>2</v>
      </c>
      <c r="I102" s="4"/>
      <c r="J102" s="4"/>
    </row>
    <row r="103" spans="3:10" x14ac:dyDescent="0.2">
      <c r="C103" s="436">
        <v>11</v>
      </c>
      <c r="D103" s="436">
        <v>1</v>
      </c>
      <c r="G103" s="435">
        <v>6</v>
      </c>
      <c r="H103" s="435">
        <v>1</v>
      </c>
      <c r="I103" s="4"/>
      <c r="J103" s="4"/>
    </row>
    <row r="104" spans="3:10" x14ac:dyDescent="0.2">
      <c r="C104" s="436">
        <v>14</v>
      </c>
      <c r="D104" s="436">
        <v>1</v>
      </c>
      <c r="G104" s="435">
        <v>6</v>
      </c>
      <c r="H104" s="435">
        <v>1</v>
      </c>
      <c r="I104" s="4"/>
      <c r="J104" s="4"/>
    </row>
    <row r="105" spans="3:10" x14ac:dyDescent="0.2">
      <c r="C105" s="436">
        <v>5</v>
      </c>
      <c r="D105" s="436">
        <v>1</v>
      </c>
      <c r="G105" s="435">
        <v>6</v>
      </c>
      <c r="H105" s="435">
        <v>1</v>
      </c>
      <c r="I105" s="4"/>
      <c r="J105" s="4"/>
    </row>
    <row r="106" spans="3:10" x14ac:dyDescent="0.2">
      <c r="C106" s="436">
        <v>12</v>
      </c>
      <c r="D106" s="436">
        <v>1</v>
      </c>
      <c r="G106" s="435">
        <v>8</v>
      </c>
      <c r="H106" s="435">
        <v>2</v>
      </c>
      <c r="I106" s="4"/>
      <c r="J106" s="4"/>
    </row>
    <row r="107" spans="3:10" x14ac:dyDescent="0.2">
      <c r="C107" s="436">
        <v>18</v>
      </c>
      <c r="D107" s="436">
        <v>2</v>
      </c>
      <c r="G107" s="435">
        <v>10</v>
      </c>
      <c r="H107" s="435">
        <v>2</v>
      </c>
      <c r="I107" s="4"/>
      <c r="J107" s="4"/>
    </row>
    <row r="108" spans="3:10" x14ac:dyDescent="0.2">
      <c r="C108" s="436">
        <v>18</v>
      </c>
      <c r="D108" s="436">
        <v>2</v>
      </c>
      <c r="G108" s="435">
        <v>6</v>
      </c>
      <c r="H108" s="435">
        <v>1</v>
      </c>
      <c r="I108" s="4"/>
      <c r="J108" s="4"/>
    </row>
    <row r="109" spans="3:10" x14ac:dyDescent="0.2">
      <c r="C109" s="436">
        <v>16</v>
      </c>
      <c r="D109" s="436">
        <v>2</v>
      </c>
      <c r="G109" s="435">
        <v>8</v>
      </c>
      <c r="H109" s="435">
        <v>1</v>
      </c>
      <c r="I109" s="4"/>
      <c r="J109" s="4"/>
    </row>
    <row r="110" spans="3:10" x14ac:dyDescent="0.2">
      <c r="C110" s="436">
        <v>15</v>
      </c>
      <c r="D110" s="436">
        <v>1</v>
      </c>
      <c r="G110" s="435">
        <v>6</v>
      </c>
      <c r="H110" s="435">
        <v>1</v>
      </c>
      <c r="I110" s="4"/>
      <c r="J110" s="4"/>
    </row>
    <row r="111" spans="3:10" x14ac:dyDescent="0.2">
      <c r="C111" s="436">
        <v>10</v>
      </c>
      <c r="D111" s="436">
        <v>1</v>
      </c>
      <c r="G111" s="435">
        <v>15</v>
      </c>
      <c r="H111" s="435">
        <v>3</v>
      </c>
      <c r="I111" s="4"/>
      <c r="J111" s="4"/>
    </row>
    <row r="112" spans="3:10" x14ac:dyDescent="0.2">
      <c r="C112" s="436">
        <v>23</v>
      </c>
      <c r="D112" s="436">
        <v>2</v>
      </c>
      <c r="G112" s="435">
        <v>6</v>
      </c>
      <c r="H112" s="435">
        <v>1</v>
      </c>
      <c r="I112" s="4"/>
      <c r="J112" s="4"/>
    </row>
    <row r="113" spans="3:10" x14ac:dyDescent="0.2">
      <c r="C113" s="436">
        <v>14</v>
      </c>
      <c r="D113" s="436">
        <v>1</v>
      </c>
      <c r="G113" s="435">
        <v>17</v>
      </c>
      <c r="H113" s="435">
        <v>3</v>
      </c>
      <c r="I113" s="4"/>
      <c r="J113" s="4"/>
    </row>
    <row r="114" spans="3:10" x14ac:dyDescent="0.2">
      <c r="C114" s="436">
        <v>15</v>
      </c>
      <c r="D114" s="436">
        <v>2</v>
      </c>
      <c r="G114" s="435">
        <v>12</v>
      </c>
      <c r="H114" s="435">
        <v>4</v>
      </c>
      <c r="I114" s="4"/>
      <c r="J114" s="4"/>
    </row>
    <row r="115" spans="3:10" x14ac:dyDescent="0.2">
      <c r="C115" s="436">
        <v>10</v>
      </c>
      <c r="D115" s="436">
        <v>1</v>
      </c>
      <c r="G115" s="435">
        <v>11</v>
      </c>
      <c r="H115" s="435">
        <v>2</v>
      </c>
      <c r="I115" s="4"/>
      <c r="J115" s="4"/>
    </row>
    <row r="116" spans="3:10" x14ac:dyDescent="0.2">
      <c r="C116" s="436">
        <v>10</v>
      </c>
      <c r="D116" s="436">
        <v>1</v>
      </c>
      <c r="G116" s="435">
        <v>18</v>
      </c>
      <c r="H116" s="435">
        <v>4</v>
      </c>
      <c r="I116" s="4"/>
      <c r="J116" s="4"/>
    </row>
    <row r="117" spans="3:10" x14ac:dyDescent="0.2">
      <c r="C117" s="436">
        <v>8</v>
      </c>
      <c r="D117" s="436">
        <v>1</v>
      </c>
      <c r="G117" s="435">
        <v>11</v>
      </c>
      <c r="H117" s="435">
        <v>3</v>
      </c>
      <c r="I117" s="4"/>
      <c r="J117" s="4"/>
    </row>
    <row r="118" spans="3:10" x14ac:dyDescent="0.2">
      <c r="C118" s="436">
        <v>8</v>
      </c>
      <c r="D118" s="436">
        <v>1</v>
      </c>
      <c r="G118" s="435">
        <v>11</v>
      </c>
      <c r="H118" s="435">
        <v>3</v>
      </c>
      <c r="I118" s="4"/>
      <c r="J118" s="4"/>
    </row>
    <row r="119" spans="3:10" x14ac:dyDescent="0.2">
      <c r="C119" s="436">
        <v>10</v>
      </c>
      <c r="D119" s="436">
        <v>1</v>
      </c>
      <c r="G119" s="435">
        <v>12</v>
      </c>
      <c r="H119" s="435">
        <v>3</v>
      </c>
      <c r="I119" s="4"/>
      <c r="J119" s="4"/>
    </row>
    <row r="120" spans="3:10" x14ac:dyDescent="0.2">
      <c r="C120" s="436">
        <v>10</v>
      </c>
      <c r="D120" s="436">
        <v>1</v>
      </c>
      <c r="G120" s="435">
        <v>6</v>
      </c>
      <c r="H120" s="435">
        <v>1</v>
      </c>
      <c r="I120" s="4"/>
      <c r="J120" s="4"/>
    </row>
    <row r="121" spans="3:10" x14ac:dyDescent="0.2">
      <c r="C121" s="436">
        <v>19</v>
      </c>
      <c r="D121" s="436">
        <v>2</v>
      </c>
      <c r="G121" s="435">
        <v>5</v>
      </c>
      <c r="H121" s="435">
        <v>1</v>
      </c>
      <c r="I121" s="4"/>
      <c r="J121" s="4"/>
    </row>
    <row r="122" spans="3:10" x14ac:dyDescent="0.2">
      <c r="C122" s="436">
        <v>10</v>
      </c>
      <c r="D122" s="436">
        <v>1</v>
      </c>
      <c r="G122" s="435">
        <v>10</v>
      </c>
      <c r="H122" s="435">
        <v>2</v>
      </c>
      <c r="I122" s="4"/>
      <c r="J122" s="4"/>
    </row>
    <row r="123" spans="3:10" x14ac:dyDescent="0.2">
      <c r="C123" s="436">
        <v>12</v>
      </c>
      <c r="D123" s="436">
        <v>1</v>
      </c>
      <c r="G123" s="435">
        <v>10</v>
      </c>
      <c r="H123" s="435">
        <v>3</v>
      </c>
      <c r="I123" s="4"/>
      <c r="J123" s="4"/>
    </row>
    <row r="124" spans="3:10" x14ac:dyDescent="0.2">
      <c r="C124" s="436">
        <v>11</v>
      </c>
      <c r="D124" s="436">
        <v>1</v>
      </c>
      <c r="G124" s="435">
        <v>6</v>
      </c>
      <c r="H124" s="435">
        <v>1</v>
      </c>
      <c r="I124" s="4"/>
      <c r="J124" s="4"/>
    </row>
    <row r="125" spans="3:10" x14ac:dyDescent="0.2">
      <c r="C125" s="436">
        <v>17</v>
      </c>
      <c r="D125" s="436">
        <v>1</v>
      </c>
      <c r="G125" s="435">
        <v>6</v>
      </c>
      <c r="H125" s="435">
        <v>1</v>
      </c>
      <c r="I125" s="4"/>
      <c r="J125" s="4"/>
    </row>
    <row r="126" spans="3:10" x14ac:dyDescent="0.2">
      <c r="C126" s="436">
        <v>9</v>
      </c>
      <c r="D126" s="436">
        <v>1</v>
      </c>
      <c r="G126" s="435">
        <v>11</v>
      </c>
      <c r="H126" s="435">
        <v>3</v>
      </c>
      <c r="I126" s="4"/>
      <c r="J126" s="4"/>
    </row>
    <row r="127" spans="3:10" x14ac:dyDescent="0.2">
      <c r="C127" s="436">
        <v>8</v>
      </c>
      <c r="D127" s="436">
        <v>1</v>
      </c>
      <c r="G127" s="435">
        <v>13</v>
      </c>
      <c r="H127" s="435">
        <v>3</v>
      </c>
      <c r="I127" s="4"/>
      <c r="J127" s="4"/>
    </row>
    <row r="128" spans="3:10" x14ac:dyDescent="0.2">
      <c r="C128" s="436">
        <v>9</v>
      </c>
      <c r="D128" s="436">
        <v>1</v>
      </c>
      <c r="G128" s="435">
        <v>10</v>
      </c>
      <c r="H128" s="435">
        <v>2</v>
      </c>
      <c r="I128" s="4"/>
      <c r="J128" s="4"/>
    </row>
    <row r="129" spans="3:10" x14ac:dyDescent="0.2">
      <c r="C129" s="436">
        <v>7</v>
      </c>
      <c r="D129" s="436">
        <v>2</v>
      </c>
      <c r="G129" s="435">
        <v>12</v>
      </c>
      <c r="H129" s="435">
        <v>3</v>
      </c>
      <c r="I129" s="4"/>
      <c r="J129" s="4"/>
    </row>
    <row r="130" spans="3:10" x14ac:dyDescent="0.2">
      <c r="C130" s="436">
        <v>15</v>
      </c>
      <c r="D130" s="436">
        <v>2</v>
      </c>
      <c r="G130" s="435">
        <v>12</v>
      </c>
      <c r="H130" s="435">
        <v>3</v>
      </c>
      <c r="I130" s="4"/>
      <c r="J130" s="4"/>
    </row>
    <row r="131" spans="3:10" x14ac:dyDescent="0.2">
      <c r="C131" s="436">
        <v>19</v>
      </c>
      <c r="D131" s="436">
        <v>1</v>
      </c>
      <c r="G131" s="435">
        <v>10</v>
      </c>
      <c r="H131" s="435">
        <v>2</v>
      </c>
      <c r="I131" s="4"/>
      <c r="J131" s="4"/>
    </row>
    <row r="132" spans="3:10" x14ac:dyDescent="0.2">
      <c r="C132" s="436">
        <v>20</v>
      </c>
      <c r="D132" s="436">
        <v>1</v>
      </c>
      <c r="G132" s="435">
        <v>11</v>
      </c>
      <c r="H132" s="435">
        <v>2</v>
      </c>
      <c r="I132" s="4"/>
      <c r="J132" s="4"/>
    </row>
    <row r="133" spans="3:10" x14ac:dyDescent="0.2">
      <c r="C133" s="436">
        <v>17</v>
      </c>
      <c r="D133" s="436">
        <v>2</v>
      </c>
      <c r="G133" s="435">
        <v>8</v>
      </c>
      <c r="H133" s="435">
        <v>1</v>
      </c>
      <c r="I133" s="4"/>
      <c r="J133" s="4"/>
    </row>
    <row r="134" spans="3:10" x14ac:dyDescent="0.2">
      <c r="C134" s="436">
        <v>10</v>
      </c>
      <c r="D134" s="436">
        <v>1</v>
      </c>
      <c r="G134" s="435">
        <v>18</v>
      </c>
      <c r="H134" s="435">
        <v>4</v>
      </c>
      <c r="I134" s="4"/>
      <c r="J134" s="4"/>
    </row>
    <row r="135" spans="3:10" x14ac:dyDescent="0.2">
      <c r="C135" s="436">
        <v>15</v>
      </c>
      <c r="D135" s="436">
        <v>1</v>
      </c>
      <c r="G135" s="435">
        <v>12</v>
      </c>
      <c r="H135" s="435">
        <v>3</v>
      </c>
      <c r="I135" s="4"/>
      <c r="J135" s="4"/>
    </row>
    <row r="136" spans="3:10" x14ac:dyDescent="0.2">
      <c r="C136" s="436">
        <v>16</v>
      </c>
      <c r="D136" s="436">
        <v>1</v>
      </c>
      <c r="G136" s="435">
        <v>6</v>
      </c>
      <c r="H136" s="435">
        <v>1</v>
      </c>
      <c r="I136" s="4"/>
      <c r="J136" s="4"/>
    </row>
    <row r="137" spans="3:10" x14ac:dyDescent="0.2">
      <c r="C137" s="436">
        <v>22</v>
      </c>
      <c r="D137" s="436">
        <v>2</v>
      </c>
      <c r="G137" s="435">
        <v>14</v>
      </c>
      <c r="H137" s="435">
        <v>4</v>
      </c>
      <c r="I137" s="4"/>
      <c r="J137" s="4"/>
    </row>
    <row r="138" spans="3:10" x14ac:dyDescent="0.2">
      <c r="C138" s="436">
        <v>24</v>
      </c>
      <c r="D138" s="436">
        <v>2</v>
      </c>
      <c r="G138" s="435">
        <v>6</v>
      </c>
      <c r="H138" s="435">
        <v>1</v>
      </c>
      <c r="I138" s="4"/>
      <c r="J138" s="4"/>
    </row>
    <row r="139" spans="3:10" x14ac:dyDescent="0.2">
      <c r="C139" s="436">
        <v>12</v>
      </c>
      <c r="D139" s="436">
        <v>2</v>
      </c>
      <c r="G139" s="435">
        <v>13</v>
      </c>
      <c r="H139" s="435">
        <v>2</v>
      </c>
      <c r="I139" s="4"/>
      <c r="J139" s="4"/>
    </row>
    <row r="140" spans="3:10" x14ac:dyDescent="0.2">
      <c r="C140" s="436">
        <v>12</v>
      </c>
      <c r="D140" s="436">
        <v>1</v>
      </c>
      <c r="G140" s="435">
        <v>16</v>
      </c>
      <c r="H140" s="435">
        <v>4</v>
      </c>
      <c r="I140" s="4"/>
      <c r="J140" s="4"/>
    </row>
    <row r="141" spans="3:10" x14ac:dyDescent="0.2">
      <c r="C141" s="436">
        <v>8</v>
      </c>
      <c r="D141" s="436">
        <v>1</v>
      </c>
      <c r="G141" s="435">
        <v>10</v>
      </c>
      <c r="H141" s="435">
        <v>2</v>
      </c>
      <c r="I141" s="4"/>
      <c r="J141" s="4"/>
    </row>
    <row r="142" spans="3:10" x14ac:dyDescent="0.2">
      <c r="C142" s="436">
        <v>24</v>
      </c>
      <c r="D142" s="436">
        <v>3</v>
      </c>
      <c r="G142" s="435">
        <v>11</v>
      </c>
      <c r="H142" s="435">
        <v>2</v>
      </c>
      <c r="I142" s="4"/>
      <c r="J142" s="4"/>
    </row>
    <row r="143" spans="3:10" x14ac:dyDescent="0.2">
      <c r="C143" s="436">
        <v>11</v>
      </c>
      <c r="D143" s="436">
        <v>1</v>
      </c>
      <c r="G143" s="435">
        <v>18</v>
      </c>
      <c r="H143" s="435">
        <v>4</v>
      </c>
      <c r="I143" s="4"/>
      <c r="J143" s="4"/>
    </row>
    <row r="144" spans="3:10" x14ac:dyDescent="0.2">
      <c r="C144" s="436">
        <v>12</v>
      </c>
      <c r="D144" s="436">
        <v>1</v>
      </c>
      <c r="G144" s="435">
        <v>14</v>
      </c>
      <c r="H144" s="435">
        <v>4</v>
      </c>
      <c r="I144" s="4"/>
      <c r="J144" s="4"/>
    </row>
    <row r="145" spans="3:10" x14ac:dyDescent="0.2">
      <c r="C145" s="436">
        <v>26</v>
      </c>
      <c r="D145" s="436">
        <v>2</v>
      </c>
      <c r="G145" s="435">
        <v>6</v>
      </c>
      <c r="H145" s="435">
        <v>1</v>
      </c>
      <c r="I145" s="4"/>
      <c r="J145" s="4"/>
    </row>
    <row r="146" spans="3:10" x14ac:dyDescent="0.2">
      <c r="C146" s="436">
        <v>20</v>
      </c>
      <c r="D146" s="436">
        <v>2</v>
      </c>
      <c r="G146" s="435">
        <v>5</v>
      </c>
      <c r="H146" s="435">
        <v>1</v>
      </c>
      <c r="I146" s="4"/>
      <c r="J146" s="4"/>
    </row>
    <row r="147" spans="3:10" x14ac:dyDescent="0.2">
      <c r="C147" s="436">
        <v>16</v>
      </c>
      <c r="D147" s="436">
        <v>2</v>
      </c>
      <c r="G147" s="435">
        <v>6</v>
      </c>
      <c r="H147" s="435">
        <v>1</v>
      </c>
      <c r="I147" s="4"/>
      <c r="J147" s="4"/>
    </row>
    <row r="148" spans="3:10" x14ac:dyDescent="0.2">
      <c r="C148" s="436">
        <v>24</v>
      </c>
      <c r="D148" s="436">
        <v>1</v>
      </c>
      <c r="G148" s="435">
        <v>7</v>
      </c>
      <c r="H148" s="435">
        <v>1</v>
      </c>
      <c r="I148" s="4"/>
      <c r="J148" s="4"/>
    </row>
    <row r="149" spans="3:10" x14ac:dyDescent="0.2">
      <c r="C149" s="436">
        <v>24</v>
      </c>
      <c r="D149" s="436">
        <v>2</v>
      </c>
      <c r="G149" s="435">
        <v>6</v>
      </c>
      <c r="H149" s="435">
        <v>1</v>
      </c>
      <c r="I149" s="4"/>
      <c r="J149" s="4"/>
    </row>
    <row r="150" spans="3:10" x14ac:dyDescent="0.2">
      <c r="C150" s="436">
        <v>25</v>
      </c>
      <c r="D150" s="436">
        <v>2</v>
      </c>
      <c r="G150" s="435">
        <v>17</v>
      </c>
      <c r="H150" s="435">
        <v>3</v>
      </c>
      <c r="I150" s="4"/>
      <c r="J150" s="4"/>
    </row>
    <row r="151" spans="3:10" x14ac:dyDescent="0.2">
      <c r="C151" s="436">
        <v>13</v>
      </c>
      <c r="D151" s="436">
        <v>1</v>
      </c>
      <c r="G151" s="435">
        <v>7</v>
      </c>
      <c r="H151" s="435">
        <v>1</v>
      </c>
      <c r="I151" s="4"/>
      <c r="J151" s="4"/>
    </row>
    <row r="152" spans="3:10" x14ac:dyDescent="0.2">
      <c r="C152" s="436">
        <v>14</v>
      </c>
      <c r="D152" s="436">
        <v>1</v>
      </c>
      <c r="G152" s="435">
        <v>11</v>
      </c>
      <c r="H152" s="435">
        <v>2</v>
      </c>
      <c r="I152" s="4"/>
      <c r="J152" s="4"/>
    </row>
    <row r="153" spans="3:10" x14ac:dyDescent="0.2">
      <c r="C153" s="436">
        <v>27</v>
      </c>
      <c r="D153" s="436">
        <v>2</v>
      </c>
      <c r="G153" s="435">
        <v>8</v>
      </c>
      <c r="H153" s="435">
        <v>1</v>
      </c>
      <c r="I153" s="4"/>
      <c r="J153" s="4"/>
    </row>
    <row r="154" spans="3:10" x14ac:dyDescent="0.2">
      <c r="C154" s="436">
        <v>17</v>
      </c>
      <c r="D154" s="436">
        <v>1</v>
      </c>
      <c r="G154" s="435">
        <v>10</v>
      </c>
      <c r="H154" s="435">
        <v>2</v>
      </c>
      <c r="I154" s="4"/>
      <c r="J154" s="4"/>
    </row>
    <row r="155" spans="3:10" x14ac:dyDescent="0.2">
      <c r="C155" s="436">
        <v>13</v>
      </c>
      <c r="D155" s="436">
        <v>1</v>
      </c>
      <c r="G155" s="435">
        <v>12</v>
      </c>
      <c r="H155" s="435">
        <v>2</v>
      </c>
      <c r="I155" s="4"/>
      <c r="J155" s="4"/>
    </row>
    <row r="156" spans="3:10" x14ac:dyDescent="0.2">
      <c r="C156" s="436">
        <v>28</v>
      </c>
      <c r="D156" s="436">
        <v>1</v>
      </c>
      <c r="G156" s="435">
        <v>5</v>
      </c>
      <c r="H156" s="435">
        <v>1</v>
      </c>
      <c r="I156" s="4"/>
      <c r="J156" s="4"/>
    </row>
    <row r="157" spans="3:10" x14ac:dyDescent="0.2">
      <c r="C157" s="436">
        <v>25</v>
      </c>
      <c r="D157" s="436">
        <v>2</v>
      </c>
      <c r="G157" s="435">
        <v>13</v>
      </c>
      <c r="H157" s="435">
        <v>4</v>
      </c>
      <c r="I157" s="4"/>
      <c r="J157" s="4"/>
    </row>
    <row r="158" spans="3:10" x14ac:dyDescent="0.2">
      <c r="C158" s="436">
        <v>9</v>
      </c>
      <c r="D158" s="436">
        <v>1</v>
      </c>
      <c r="G158" s="435">
        <v>6</v>
      </c>
      <c r="H158" s="435">
        <v>1</v>
      </c>
      <c r="I158" s="4"/>
      <c r="J158" s="4"/>
    </row>
    <row r="159" spans="3:10" x14ac:dyDescent="0.2">
      <c r="C159" s="436">
        <v>8</v>
      </c>
      <c r="D159" s="436">
        <v>1</v>
      </c>
      <c r="G159" s="435">
        <v>12</v>
      </c>
      <c r="H159" s="435">
        <v>2</v>
      </c>
      <c r="I159" s="4"/>
      <c r="J159" s="4"/>
    </row>
    <row r="160" spans="3:10" x14ac:dyDescent="0.2">
      <c r="C160" s="436">
        <v>8</v>
      </c>
      <c r="D160" s="436">
        <v>1</v>
      </c>
      <c r="G160" s="435">
        <v>8</v>
      </c>
      <c r="H160" s="435">
        <v>2</v>
      </c>
      <c r="I160" s="4"/>
      <c r="J160" s="4"/>
    </row>
    <row r="161" spans="3:10" x14ac:dyDescent="0.2">
      <c r="C161" s="436">
        <v>6</v>
      </c>
      <c r="D161" s="436">
        <v>1</v>
      </c>
      <c r="G161" s="435">
        <v>13</v>
      </c>
      <c r="H161" s="435">
        <v>3</v>
      </c>
      <c r="I161" s="4"/>
      <c r="J161" s="4"/>
    </row>
    <row r="162" spans="3:10" x14ac:dyDescent="0.2">
      <c r="C162" s="436">
        <v>5</v>
      </c>
      <c r="D162" s="436">
        <v>1</v>
      </c>
      <c r="G162" s="435">
        <v>12</v>
      </c>
      <c r="H162" s="435">
        <v>4</v>
      </c>
      <c r="I162" s="4"/>
      <c r="J162" s="4"/>
    </row>
    <row r="163" spans="3:10" x14ac:dyDescent="0.2">
      <c r="C163" s="436">
        <v>10</v>
      </c>
      <c r="D163" s="436">
        <v>1</v>
      </c>
      <c r="G163" s="435">
        <v>5</v>
      </c>
      <c r="H163" s="435">
        <v>1</v>
      </c>
      <c r="I163" s="4"/>
      <c r="J163" s="4"/>
    </row>
    <row r="164" spans="3:10" x14ac:dyDescent="0.2">
      <c r="C164" s="436">
        <v>11</v>
      </c>
      <c r="D164" s="436">
        <v>1</v>
      </c>
      <c r="G164" s="435">
        <v>5</v>
      </c>
      <c r="H164" s="435">
        <v>1</v>
      </c>
      <c r="I164" s="4"/>
      <c r="J164" s="4"/>
    </row>
    <row r="165" spans="3:10" x14ac:dyDescent="0.2">
      <c r="C165" s="436">
        <v>13</v>
      </c>
      <c r="D165" s="436">
        <v>2</v>
      </c>
      <c r="G165" s="435">
        <v>11</v>
      </c>
      <c r="H165" s="435">
        <v>1</v>
      </c>
      <c r="I165" s="4"/>
      <c r="J165" s="4"/>
    </row>
    <row r="166" spans="3:10" x14ac:dyDescent="0.2">
      <c r="C166" s="436">
        <v>6</v>
      </c>
      <c r="D166" s="436">
        <v>1</v>
      </c>
      <c r="G166" s="435">
        <v>10</v>
      </c>
      <c r="H166" s="435">
        <v>2</v>
      </c>
      <c r="I166" s="4"/>
      <c r="J166" s="4"/>
    </row>
    <row r="167" spans="3:10" x14ac:dyDescent="0.2">
      <c r="C167" s="436">
        <v>11</v>
      </c>
      <c r="D167" s="436">
        <v>2</v>
      </c>
      <c r="G167" s="435">
        <v>5</v>
      </c>
      <c r="H167" s="435">
        <v>1</v>
      </c>
      <c r="I167" s="4"/>
      <c r="J167" s="4"/>
    </row>
    <row r="168" spans="3:10" x14ac:dyDescent="0.2">
      <c r="C168" s="436">
        <v>9</v>
      </c>
      <c r="D168" s="436">
        <v>1</v>
      </c>
      <c r="G168" s="435">
        <v>7</v>
      </c>
      <c r="H168" s="435">
        <v>2</v>
      </c>
      <c r="I168" s="4"/>
      <c r="J168" s="4"/>
    </row>
    <row r="169" spans="3:10" x14ac:dyDescent="0.2">
      <c r="C169" s="436">
        <v>17</v>
      </c>
      <c r="D169" s="436">
        <v>2</v>
      </c>
      <c r="G169" s="435">
        <v>5</v>
      </c>
      <c r="H169" s="435">
        <v>1</v>
      </c>
      <c r="I169" s="4"/>
      <c r="J169" s="4"/>
    </row>
    <row r="170" spans="3:10" x14ac:dyDescent="0.2">
      <c r="C170" s="436">
        <v>9</v>
      </c>
      <c r="D170" s="436">
        <v>1</v>
      </c>
      <c r="G170" s="435">
        <v>12</v>
      </c>
      <c r="H170" s="435">
        <v>3</v>
      </c>
      <c r="I170" s="4"/>
      <c r="J170" s="4"/>
    </row>
    <row r="171" spans="3:10" x14ac:dyDescent="0.2">
      <c r="C171" s="436">
        <v>8</v>
      </c>
      <c r="D171" s="436">
        <v>1</v>
      </c>
      <c r="G171" s="435">
        <v>12</v>
      </c>
      <c r="H171" s="435">
        <v>3</v>
      </c>
      <c r="I171" s="4"/>
      <c r="J171" s="4"/>
    </row>
    <row r="172" spans="3:10" x14ac:dyDescent="0.2">
      <c r="C172" s="436">
        <v>15</v>
      </c>
      <c r="D172" s="436">
        <v>2</v>
      </c>
      <c r="G172" s="435">
        <v>5</v>
      </c>
      <c r="H172" s="435">
        <v>1</v>
      </c>
      <c r="I172" s="4"/>
      <c r="J172" s="4"/>
    </row>
    <row r="173" spans="3:10" x14ac:dyDescent="0.2">
      <c r="C173" s="436">
        <v>10</v>
      </c>
      <c r="D173" s="436">
        <v>1</v>
      </c>
      <c r="G173" s="435">
        <v>5</v>
      </c>
      <c r="H173" s="435">
        <v>1</v>
      </c>
      <c r="I173" s="4"/>
      <c r="J173" s="4"/>
    </row>
    <row r="174" spans="3:10" x14ac:dyDescent="0.2">
      <c r="C174" s="436">
        <v>16</v>
      </c>
      <c r="D174" s="436">
        <v>1</v>
      </c>
      <c r="G174" s="435">
        <v>5</v>
      </c>
      <c r="H174" s="435">
        <v>1</v>
      </c>
      <c r="I174" s="4"/>
      <c r="J174" s="4"/>
    </row>
    <row r="175" spans="3:10" x14ac:dyDescent="0.2">
      <c r="C175" s="436">
        <v>16</v>
      </c>
      <c r="D175" s="436">
        <v>2</v>
      </c>
      <c r="G175" s="435">
        <v>5</v>
      </c>
      <c r="H175" s="435">
        <v>1</v>
      </c>
      <c r="I175" s="4"/>
      <c r="J175" s="4"/>
    </row>
    <row r="176" spans="3:10" x14ac:dyDescent="0.2">
      <c r="C176" s="436">
        <v>16</v>
      </c>
      <c r="D176" s="436">
        <v>2</v>
      </c>
      <c r="G176" s="435">
        <v>10</v>
      </c>
      <c r="H176" s="435">
        <v>2</v>
      </c>
      <c r="I176" s="4"/>
      <c r="J176" s="4"/>
    </row>
    <row r="177" spans="3:10" x14ac:dyDescent="0.2">
      <c r="C177" s="436">
        <v>14</v>
      </c>
      <c r="D177" s="436">
        <v>2</v>
      </c>
      <c r="G177" s="435">
        <v>6</v>
      </c>
      <c r="H177" s="435">
        <v>1</v>
      </c>
      <c r="I177" s="4"/>
      <c r="J177" s="4"/>
    </row>
    <row r="178" spans="3:10" x14ac:dyDescent="0.2">
      <c r="C178" s="436">
        <v>14</v>
      </c>
      <c r="D178" s="436">
        <v>1</v>
      </c>
      <c r="G178" s="435">
        <v>11</v>
      </c>
      <c r="H178" s="435">
        <v>2</v>
      </c>
      <c r="I178" s="4"/>
      <c r="J178" s="4"/>
    </row>
    <row r="179" spans="3:10" x14ac:dyDescent="0.2">
      <c r="C179" s="436">
        <v>10</v>
      </c>
      <c r="D179" s="436">
        <v>1</v>
      </c>
      <c r="G179" s="435">
        <v>11</v>
      </c>
      <c r="H179" s="435">
        <v>2</v>
      </c>
      <c r="I179" s="4"/>
      <c r="J179" s="4"/>
    </row>
    <row r="180" spans="3:10" x14ac:dyDescent="0.2">
      <c r="C180" s="436">
        <v>10</v>
      </c>
      <c r="D180" s="436">
        <v>1</v>
      </c>
      <c r="G180" s="435">
        <v>10</v>
      </c>
      <c r="H180" s="435">
        <v>2</v>
      </c>
      <c r="I180" s="4"/>
      <c r="J180" s="4"/>
    </row>
    <row r="181" spans="3:10" x14ac:dyDescent="0.2">
      <c r="C181" s="436">
        <v>12</v>
      </c>
      <c r="D181" s="436">
        <v>1</v>
      </c>
      <c r="G181" s="435">
        <v>11</v>
      </c>
      <c r="H181" s="435">
        <v>2</v>
      </c>
      <c r="I181" s="4"/>
      <c r="J181" s="4"/>
    </row>
    <row r="182" spans="3:10" x14ac:dyDescent="0.2">
      <c r="C182" s="436">
        <v>13</v>
      </c>
      <c r="D182" s="436">
        <v>1</v>
      </c>
      <c r="G182" s="435">
        <v>8</v>
      </c>
      <c r="H182" s="435">
        <v>1</v>
      </c>
      <c r="I182" s="4"/>
      <c r="J182" s="4"/>
    </row>
    <row r="183" spans="3:10" x14ac:dyDescent="0.2">
      <c r="C183" s="436">
        <v>11</v>
      </c>
      <c r="D183" s="436">
        <v>1</v>
      </c>
      <c r="G183" s="435">
        <v>10</v>
      </c>
      <c r="H183" s="435">
        <v>2</v>
      </c>
      <c r="I183" s="4"/>
      <c r="J183" s="4"/>
    </row>
    <row r="184" spans="3:10" x14ac:dyDescent="0.2">
      <c r="C184" s="436">
        <v>8</v>
      </c>
      <c r="D184" s="436">
        <v>1</v>
      </c>
      <c r="G184" s="435">
        <v>11</v>
      </c>
      <c r="H184" s="435">
        <v>2</v>
      </c>
      <c r="I184" s="4"/>
      <c r="J184" s="4"/>
    </row>
    <row r="185" spans="3:10" x14ac:dyDescent="0.2">
      <c r="C185" s="436">
        <v>12</v>
      </c>
      <c r="D185" s="436">
        <v>2</v>
      </c>
      <c r="G185" s="435">
        <v>13</v>
      </c>
      <c r="H185" s="435">
        <v>2</v>
      </c>
      <c r="I185" s="4"/>
      <c r="J185" s="4"/>
    </row>
    <row r="186" spans="3:10" x14ac:dyDescent="0.2">
      <c r="C186" s="436">
        <v>6</v>
      </c>
      <c r="D186" s="436">
        <v>1</v>
      </c>
      <c r="G186" s="435">
        <v>12</v>
      </c>
      <c r="H186" s="435">
        <v>3</v>
      </c>
      <c r="I186" s="4"/>
      <c r="J186" s="4"/>
    </row>
    <row r="187" spans="3:10" x14ac:dyDescent="0.2">
      <c r="C187" s="436">
        <v>13</v>
      </c>
      <c r="D187" s="436">
        <v>1</v>
      </c>
      <c r="G187" s="435">
        <v>5</v>
      </c>
      <c r="H187" s="435">
        <v>1</v>
      </c>
      <c r="I187" s="4"/>
      <c r="J187" s="4"/>
    </row>
    <row r="188" spans="3:10" x14ac:dyDescent="0.2">
      <c r="C188" s="436">
        <v>15</v>
      </c>
      <c r="D188" s="436">
        <v>2</v>
      </c>
      <c r="G188" s="435">
        <v>5</v>
      </c>
      <c r="H188" s="435">
        <v>1</v>
      </c>
      <c r="I188" s="4"/>
      <c r="J188" s="4"/>
    </row>
    <row r="189" spans="3:10" x14ac:dyDescent="0.2">
      <c r="C189" s="436">
        <v>13</v>
      </c>
      <c r="D189" s="436">
        <v>1</v>
      </c>
      <c r="G189" s="435">
        <v>6</v>
      </c>
      <c r="H189" s="435">
        <v>1</v>
      </c>
      <c r="I189" s="4"/>
      <c r="J189" s="4"/>
    </row>
    <row r="190" spans="3:10" x14ac:dyDescent="0.2">
      <c r="C190" s="436">
        <v>11</v>
      </c>
      <c r="D190" s="436">
        <v>1</v>
      </c>
      <c r="G190" s="435">
        <v>11</v>
      </c>
      <c r="H190" s="435">
        <v>3</v>
      </c>
      <c r="I190" s="4"/>
      <c r="J190" s="4"/>
    </row>
    <row r="191" spans="3:10" x14ac:dyDescent="0.2">
      <c r="C191" s="436">
        <v>13</v>
      </c>
      <c r="D191" s="436">
        <v>2</v>
      </c>
      <c r="G191" s="435">
        <v>5</v>
      </c>
      <c r="H191" s="435">
        <v>1</v>
      </c>
    </row>
    <row r="192" spans="3:10" x14ac:dyDescent="0.2">
      <c r="C192" s="436">
        <v>8</v>
      </c>
      <c r="D192" s="436">
        <v>1</v>
      </c>
      <c r="G192" s="435">
        <v>7</v>
      </c>
      <c r="H192" s="435">
        <v>1</v>
      </c>
    </row>
    <row r="193" spans="3:8" x14ac:dyDescent="0.2">
      <c r="C193" s="436">
        <v>6</v>
      </c>
      <c r="D193" s="436">
        <v>1</v>
      </c>
      <c r="G193" s="435">
        <v>6</v>
      </c>
      <c r="H193" s="435">
        <v>1</v>
      </c>
    </row>
    <row r="194" spans="3:8" x14ac:dyDescent="0.2">
      <c r="C194" s="436">
        <v>7</v>
      </c>
      <c r="D194" s="436">
        <v>1</v>
      </c>
      <c r="G194" s="435">
        <v>5</v>
      </c>
      <c r="H194" s="435">
        <v>1</v>
      </c>
    </row>
    <row r="195" spans="3:8" x14ac:dyDescent="0.2">
      <c r="C195" s="436">
        <v>14</v>
      </c>
      <c r="D195" s="436">
        <v>1</v>
      </c>
      <c r="G195" s="435">
        <v>13</v>
      </c>
      <c r="H195" s="435">
        <v>3</v>
      </c>
    </row>
    <row r="196" spans="3:8" x14ac:dyDescent="0.2">
      <c r="C196" s="436">
        <v>17</v>
      </c>
      <c r="D196" s="436">
        <v>2</v>
      </c>
      <c r="G196" s="435">
        <v>7</v>
      </c>
      <c r="H196" s="435">
        <v>1</v>
      </c>
    </row>
    <row r="197" spans="3:8" x14ac:dyDescent="0.2">
      <c r="C197" s="436">
        <v>11</v>
      </c>
      <c r="D197" s="436">
        <v>1</v>
      </c>
      <c r="G197" s="435">
        <v>6</v>
      </c>
      <c r="H197" s="435">
        <v>1</v>
      </c>
    </row>
    <row r="198" spans="3:8" x14ac:dyDescent="0.2">
      <c r="C198" s="436">
        <v>16</v>
      </c>
      <c r="D198" s="436">
        <v>2</v>
      </c>
      <c r="G198" s="435">
        <v>6</v>
      </c>
      <c r="H198" s="435">
        <v>1</v>
      </c>
    </row>
    <row r="199" spans="3:8" x14ac:dyDescent="0.2">
      <c r="C199" s="436">
        <v>11</v>
      </c>
      <c r="D199" s="436">
        <v>1</v>
      </c>
      <c r="G199" s="435">
        <v>11</v>
      </c>
      <c r="H199" s="435">
        <v>2</v>
      </c>
    </row>
    <row r="200" spans="3:8" x14ac:dyDescent="0.2">
      <c r="C200" s="436">
        <v>16</v>
      </c>
      <c r="D200" s="436">
        <v>2</v>
      </c>
      <c r="G200" s="435">
        <v>19</v>
      </c>
      <c r="H200" s="435">
        <v>2</v>
      </c>
    </row>
    <row r="201" spans="3:8" x14ac:dyDescent="0.2">
      <c r="C201" s="436">
        <v>11</v>
      </c>
      <c r="D201" s="436">
        <v>1</v>
      </c>
      <c r="G201" s="435">
        <v>10</v>
      </c>
      <c r="H201" s="435">
        <v>2</v>
      </c>
    </row>
    <row r="202" spans="3:8" x14ac:dyDescent="0.2">
      <c r="C202" s="436">
        <v>8</v>
      </c>
      <c r="D202" s="436">
        <v>1</v>
      </c>
      <c r="G202" s="435">
        <v>11</v>
      </c>
      <c r="H202" s="435">
        <v>3</v>
      </c>
    </row>
    <row r="203" spans="3:8" x14ac:dyDescent="0.2">
      <c r="C203" s="436">
        <v>8</v>
      </c>
      <c r="D203" s="436">
        <v>1</v>
      </c>
      <c r="G203" s="435">
        <v>7</v>
      </c>
      <c r="H203" s="435">
        <v>1</v>
      </c>
    </row>
    <row r="204" spans="3:8" x14ac:dyDescent="0.2">
      <c r="C204" s="436">
        <v>6</v>
      </c>
      <c r="D204" s="436">
        <v>1</v>
      </c>
      <c r="G204" s="435">
        <v>6</v>
      </c>
      <c r="H204" s="435">
        <v>1</v>
      </c>
    </row>
    <row r="205" spans="3:8" x14ac:dyDescent="0.2">
      <c r="C205" s="436">
        <v>9</v>
      </c>
      <c r="D205" s="436">
        <v>1</v>
      </c>
      <c r="G205" s="435">
        <v>5</v>
      </c>
      <c r="H205" s="435">
        <v>1</v>
      </c>
    </row>
    <row r="206" spans="3:8" x14ac:dyDescent="0.2">
      <c r="C206" s="436">
        <v>15</v>
      </c>
      <c r="D206" s="436">
        <v>2</v>
      </c>
      <c r="G206" s="435">
        <v>8</v>
      </c>
      <c r="H206" s="435">
        <v>2</v>
      </c>
    </row>
    <row r="207" spans="3:8" x14ac:dyDescent="0.2">
      <c r="C207" s="436">
        <v>14</v>
      </c>
      <c r="D207" s="436">
        <v>1</v>
      </c>
      <c r="G207" s="435">
        <v>11</v>
      </c>
      <c r="H207" s="435">
        <v>3</v>
      </c>
    </row>
    <row r="208" spans="3:8" x14ac:dyDescent="0.2">
      <c r="C208" s="436">
        <v>7</v>
      </c>
      <c r="D208" s="436">
        <v>1</v>
      </c>
      <c r="G208" s="435">
        <v>11</v>
      </c>
      <c r="H208" s="435">
        <v>3</v>
      </c>
    </row>
    <row r="209" spans="3:8" x14ac:dyDescent="0.2">
      <c r="C209" s="436">
        <v>10</v>
      </c>
      <c r="D209" s="436">
        <v>1</v>
      </c>
      <c r="G209" s="435">
        <v>5</v>
      </c>
      <c r="H209" s="435">
        <v>0</v>
      </c>
    </row>
    <row r="210" spans="3:8" x14ac:dyDescent="0.2">
      <c r="C210" s="436">
        <v>9</v>
      </c>
      <c r="D210" s="436">
        <v>1</v>
      </c>
      <c r="G210" s="435">
        <v>11</v>
      </c>
      <c r="H210" s="435">
        <v>3</v>
      </c>
    </row>
    <row r="211" spans="3:8" x14ac:dyDescent="0.2">
      <c r="C211" s="436">
        <v>13</v>
      </c>
      <c r="D211" s="436">
        <v>1</v>
      </c>
      <c r="G211" s="435">
        <v>10</v>
      </c>
      <c r="H211" s="435">
        <v>2</v>
      </c>
    </row>
    <row r="212" spans="3:8" x14ac:dyDescent="0.2">
      <c r="C212" s="436">
        <v>21</v>
      </c>
      <c r="D212" s="436">
        <v>2</v>
      </c>
      <c r="G212" s="435">
        <v>6</v>
      </c>
      <c r="H212" s="435">
        <v>1</v>
      </c>
    </row>
    <row r="213" spans="3:8" x14ac:dyDescent="0.2">
      <c r="C213" s="436">
        <v>7</v>
      </c>
      <c r="D213" s="436">
        <v>1</v>
      </c>
      <c r="G213" s="435">
        <v>13</v>
      </c>
      <c r="H213" s="435">
        <v>3</v>
      </c>
    </row>
    <row r="214" spans="3:8" x14ac:dyDescent="0.2">
      <c r="C214" s="436">
        <v>14</v>
      </c>
      <c r="D214" s="436">
        <v>1</v>
      </c>
      <c r="G214" s="435">
        <v>10</v>
      </c>
      <c r="H214" s="435">
        <v>2</v>
      </c>
    </row>
    <row r="215" spans="3:8" x14ac:dyDescent="0.2">
      <c r="C215" s="436">
        <v>5</v>
      </c>
      <c r="D215" s="436">
        <v>1</v>
      </c>
      <c r="G215" s="435">
        <v>10</v>
      </c>
      <c r="H215" s="435">
        <v>2</v>
      </c>
    </row>
    <row r="216" spans="3:8" x14ac:dyDescent="0.2">
      <c r="C216" s="436">
        <v>16</v>
      </c>
      <c r="D216" s="436">
        <v>2</v>
      </c>
      <c r="G216" s="435">
        <v>12</v>
      </c>
      <c r="H216" s="435">
        <v>3</v>
      </c>
    </row>
    <row r="217" spans="3:8" x14ac:dyDescent="0.2">
      <c r="C217" s="436">
        <v>15</v>
      </c>
      <c r="D217" s="436">
        <v>2</v>
      </c>
      <c r="G217" s="435">
        <v>11</v>
      </c>
      <c r="H217" s="435">
        <v>3</v>
      </c>
    </row>
    <row r="218" spans="3:8" x14ac:dyDescent="0.2">
      <c r="C218" s="436">
        <v>17</v>
      </c>
      <c r="D218" s="436">
        <v>2</v>
      </c>
      <c r="G218" s="435">
        <v>6</v>
      </c>
      <c r="H218" s="435">
        <v>1</v>
      </c>
    </row>
    <row r="219" spans="3:8" x14ac:dyDescent="0.2">
      <c r="C219" s="436">
        <v>7</v>
      </c>
      <c r="D219" s="436">
        <v>1</v>
      </c>
      <c r="G219" s="435">
        <v>11</v>
      </c>
      <c r="H219" s="435">
        <v>2</v>
      </c>
    </row>
    <row r="220" spans="3:8" x14ac:dyDescent="0.2">
      <c r="C220" s="436">
        <v>7</v>
      </c>
      <c r="D220" s="436">
        <v>1</v>
      </c>
      <c r="G220" s="435">
        <v>12</v>
      </c>
      <c r="H220" s="435">
        <v>3</v>
      </c>
    </row>
    <row r="221" spans="3:8" x14ac:dyDescent="0.2">
      <c r="C221" s="436">
        <v>7</v>
      </c>
      <c r="D221" s="436">
        <v>1</v>
      </c>
      <c r="G221" s="435">
        <v>13</v>
      </c>
      <c r="H221" s="435">
        <v>3</v>
      </c>
    </row>
    <row r="222" spans="3:8" x14ac:dyDescent="0.2">
      <c r="C222" s="436">
        <v>8</v>
      </c>
      <c r="D222" s="436">
        <v>1</v>
      </c>
      <c r="G222" s="435">
        <v>10</v>
      </c>
      <c r="H222" s="435">
        <v>1</v>
      </c>
    </row>
    <row r="223" spans="3:8" x14ac:dyDescent="0.2">
      <c r="C223" s="436">
        <v>7</v>
      </c>
      <c r="D223" s="436">
        <v>1</v>
      </c>
      <c r="G223" s="435">
        <v>16</v>
      </c>
      <c r="H223" s="435">
        <v>3</v>
      </c>
    </row>
    <row r="224" spans="3:8" x14ac:dyDescent="0.2">
      <c r="C224" s="436">
        <v>7</v>
      </c>
      <c r="D224" s="436">
        <v>1</v>
      </c>
      <c r="G224" s="435">
        <v>11</v>
      </c>
      <c r="H224" s="435">
        <v>2</v>
      </c>
    </row>
    <row r="225" spans="3:8" x14ac:dyDescent="0.2">
      <c r="C225" s="436">
        <v>7</v>
      </c>
      <c r="D225" s="436">
        <v>1</v>
      </c>
      <c r="G225" s="435">
        <v>11</v>
      </c>
      <c r="H225" s="435">
        <v>2</v>
      </c>
    </row>
    <row r="226" spans="3:8" x14ac:dyDescent="0.2">
      <c r="C226" s="436">
        <v>12</v>
      </c>
      <c r="D226" s="436">
        <v>1</v>
      </c>
      <c r="G226" s="435">
        <v>13</v>
      </c>
      <c r="H226" s="435">
        <v>3</v>
      </c>
    </row>
    <row r="227" spans="3:8" x14ac:dyDescent="0.2">
      <c r="C227" s="436">
        <v>10</v>
      </c>
      <c r="D227" s="436">
        <v>1</v>
      </c>
      <c r="G227" s="435">
        <v>6</v>
      </c>
      <c r="H227" s="435">
        <v>1</v>
      </c>
    </row>
    <row r="228" spans="3:8" x14ac:dyDescent="0.2">
      <c r="C228" s="436">
        <v>20</v>
      </c>
      <c r="D228" s="436">
        <v>1</v>
      </c>
      <c r="G228" s="435">
        <v>6</v>
      </c>
      <c r="H228" s="435">
        <v>1</v>
      </c>
    </row>
    <row r="229" spans="3:8" x14ac:dyDescent="0.2">
      <c r="C229" s="436">
        <v>19</v>
      </c>
      <c r="D229" s="436">
        <v>2</v>
      </c>
      <c r="G229" s="435">
        <v>10</v>
      </c>
      <c r="H229" s="435">
        <v>1</v>
      </c>
    </row>
    <row r="230" spans="3:8" x14ac:dyDescent="0.2">
      <c r="C230" s="436">
        <v>9</v>
      </c>
      <c r="D230" s="436">
        <v>1</v>
      </c>
      <c r="G230" s="435">
        <v>7</v>
      </c>
      <c r="H230" s="435">
        <v>1</v>
      </c>
    </row>
    <row r="231" spans="3:8" x14ac:dyDescent="0.2">
      <c r="C231" s="436">
        <v>16</v>
      </c>
      <c r="D231" s="436">
        <v>2</v>
      </c>
      <c r="G231" s="435">
        <v>12</v>
      </c>
      <c r="H231" s="435">
        <v>2</v>
      </c>
    </row>
    <row r="232" spans="3:8" x14ac:dyDescent="0.2">
      <c r="C232" s="436">
        <v>13</v>
      </c>
      <c r="D232" s="436">
        <v>1</v>
      </c>
      <c r="G232" s="435">
        <v>11</v>
      </c>
      <c r="H232" s="435">
        <v>2</v>
      </c>
    </row>
    <row r="233" spans="3:8" x14ac:dyDescent="0.2">
      <c r="C233" s="436">
        <v>16</v>
      </c>
      <c r="D233" s="436">
        <v>2</v>
      </c>
      <c r="G233" s="435">
        <v>12</v>
      </c>
      <c r="H233" s="435">
        <v>2</v>
      </c>
    </row>
    <row r="234" spans="3:8" x14ac:dyDescent="0.2">
      <c r="C234" s="436">
        <v>20</v>
      </c>
      <c r="D234" s="436">
        <v>1</v>
      </c>
      <c r="G234" s="435">
        <v>12</v>
      </c>
      <c r="H234" s="435">
        <v>2</v>
      </c>
    </row>
    <row r="235" spans="3:8" x14ac:dyDescent="0.2">
      <c r="C235" s="436">
        <v>10</v>
      </c>
      <c r="D235" s="436">
        <v>1</v>
      </c>
      <c r="G235" s="435">
        <v>7</v>
      </c>
      <c r="H235" s="435">
        <v>2</v>
      </c>
    </row>
    <row r="236" spans="3:8" x14ac:dyDescent="0.2">
      <c r="C236" s="436">
        <v>26</v>
      </c>
      <c r="D236" s="436">
        <v>3</v>
      </c>
      <c r="G236" s="435">
        <v>13</v>
      </c>
      <c r="H236" s="435">
        <v>3</v>
      </c>
    </row>
    <row r="237" spans="3:8" x14ac:dyDescent="0.2">
      <c r="C237" s="436">
        <v>7</v>
      </c>
      <c r="D237" s="436">
        <v>1</v>
      </c>
      <c r="G237" s="435">
        <v>10</v>
      </c>
      <c r="H237" s="435">
        <v>2</v>
      </c>
    </row>
    <row r="238" spans="3:8" x14ac:dyDescent="0.2">
      <c r="C238" s="436">
        <v>8</v>
      </c>
      <c r="D238" s="436">
        <v>1</v>
      </c>
      <c r="G238" s="435">
        <v>10</v>
      </c>
      <c r="H238" s="435">
        <v>2</v>
      </c>
    </row>
    <row r="239" spans="3:8" x14ac:dyDescent="0.2">
      <c r="C239" s="436">
        <v>9</v>
      </c>
      <c r="D239" s="436">
        <v>1</v>
      </c>
      <c r="G239" s="435">
        <v>11</v>
      </c>
      <c r="H239" s="435">
        <v>2</v>
      </c>
    </row>
    <row r="240" spans="3:8" x14ac:dyDescent="0.2">
      <c r="C240" s="436">
        <v>13</v>
      </c>
      <c r="D240" s="436">
        <v>1</v>
      </c>
      <c r="G240" s="435">
        <v>12</v>
      </c>
      <c r="H240" s="435">
        <v>3</v>
      </c>
    </row>
    <row r="241" spans="3:8" x14ac:dyDescent="0.2">
      <c r="C241" s="436">
        <v>14</v>
      </c>
      <c r="D241" s="436">
        <v>1</v>
      </c>
      <c r="G241" s="435">
        <v>12</v>
      </c>
      <c r="H241" s="435">
        <v>3</v>
      </c>
    </row>
    <row r="242" spans="3:8" x14ac:dyDescent="0.2">
      <c r="C242" s="436">
        <v>9</v>
      </c>
      <c r="D242" s="436">
        <v>1</v>
      </c>
      <c r="G242" s="435">
        <v>13</v>
      </c>
      <c r="H242" s="435">
        <v>3</v>
      </c>
    </row>
    <row r="243" spans="3:8" x14ac:dyDescent="0.2">
      <c r="C243" s="436">
        <v>26</v>
      </c>
      <c r="D243" s="436">
        <v>1</v>
      </c>
      <c r="G243" s="435">
        <v>7</v>
      </c>
      <c r="H243" s="435">
        <v>1</v>
      </c>
    </row>
    <row r="244" spans="3:8" x14ac:dyDescent="0.2">
      <c r="C244" s="436">
        <v>10</v>
      </c>
      <c r="D244" s="436">
        <v>2</v>
      </c>
      <c r="G244" s="435">
        <v>6</v>
      </c>
      <c r="H244" s="435">
        <v>1</v>
      </c>
    </row>
    <row r="245" spans="3:8" x14ac:dyDescent="0.2">
      <c r="C245" s="436">
        <v>20</v>
      </c>
      <c r="D245" s="436">
        <v>1</v>
      </c>
      <c r="G245" s="435">
        <v>6</v>
      </c>
      <c r="H245" s="435">
        <v>0</v>
      </c>
    </row>
    <row r="246" spans="3:8" x14ac:dyDescent="0.2">
      <c r="C246" s="436">
        <v>9</v>
      </c>
      <c r="D246" s="436">
        <v>1</v>
      </c>
      <c r="G246" s="435">
        <v>10</v>
      </c>
      <c r="H246" s="435">
        <v>2</v>
      </c>
    </row>
    <row r="247" spans="3:8" x14ac:dyDescent="0.2">
      <c r="C247" s="436">
        <v>18</v>
      </c>
      <c r="D247" s="436">
        <v>1</v>
      </c>
      <c r="G247" s="435">
        <v>8</v>
      </c>
      <c r="H247" s="435">
        <v>2</v>
      </c>
    </row>
    <row r="248" spans="3:8" x14ac:dyDescent="0.2">
      <c r="C248" s="436">
        <v>22</v>
      </c>
      <c r="D248" s="436">
        <v>2</v>
      </c>
      <c r="G248" s="435">
        <v>10</v>
      </c>
      <c r="H248" s="435">
        <v>2</v>
      </c>
    </row>
    <row r="249" spans="3:8" x14ac:dyDescent="0.2">
      <c r="C249" s="436">
        <v>14</v>
      </c>
      <c r="D249" s="436">
        <v>1</v>
      </c>
      <c r="G249" s="435">
        <v>11</v>
      </c>
      <c r="H249" s="435">
        <v>2</v>
      </c>
    </row>
    <row r="250" spans="3:8" x14ac:dyDescent="0.2">
      <c r="C250" s="436">
        <v>14</v>
      </c>
      <c r="D250" s="436">
        <v>2</v>
      </c>
      <c r="G250" s="435">
        <v>5</v>
      </c>
      <c r="H250" s="435">
        <v>1</v>
      </c>
    </row>
    <row r="251" spans="3:8" x14ac:dyDescent="0.2">
      <c r="C251" s="436">
        <v>12</v>
      </c>
      <c r="D251" s="436">
        <v>1</v>
      </c>
      <c r="G251" s="435">
        <v>11</v>
      </c>
      <c r="H251" s="435">
        <v>2</v>
      </c>
    </row>
    <row r="252" spans="3:8" x14ac:dyDescent="0.2">
      <c r="C252" s="436">
        <v>5</v>
      </c>
      <c r="D252" s="436">
        <v>1</v>
      </c>
      <c r="G252" s="435">
        <v>12</v>
      </c>
      <c r="H252" s="435">
        <v>3</v>
      </c>
    </row>
    <row r="253" spans="3:8" x14ac:dyDescent="0.2">
      <c r="C253" s="436">
        <v>6</v>
      </c>
      <c r="D253" s="436">
        <v>1</v>
      </c>
      <c r="G253" s="435">
        <v>10</v>
      </c>
      <c r="H253" s="435">
        <v>2</v>
      </c>
    </row>
    <row r="254" spans="3:8" x14ac:dyDescent="0.2">
      <c r="C254" s="436">
        <v>9</v>
      </c>
      <c r="D254" s="436">
        <v>1</v>
      </c>
      <c r="G254" s="435">
        <v>12</v>
      </c>
      <c r="H254" s="435">
        <v>3</v>
      </c>
    </row>
    <row r="255" spans="3:8" x14ac:dyDescent="0.2">
      <c r="C255" s="436">
        <v>9</v>
      </c>
      <c r="D255" s="436">
        <v>1</v>
      </c>
      <c r="G255" s="435">
        <v>13</v>
      </c>
      <c r="H255" s="435">
        <v>3</v>
      </c>
    </row>
    <row r="256" spans="3:8" x14ac:dyDescent="0.2">
      <c r="C256" s="436">
        <v>9</v>
      </c>
      <c r="D256" s="436">
        <v>1</v>
      </c>
      <c r="G256" s="435">
        <v>12</v>
      </c>
      <c r="H256" s="435">
        <v>3</v>
      </c>
    </row>
    <row r="257" spans="3:8" x14ac:dyDescent="0.2">
      <c r="C257" s="436">
        <v>8</v>
      </c>
      <c r="D257" s="436">
        <v>1</v>
      </c>
      <c r="G257" s="435">
        <v>13</v>
      </c>
      <c r="H257" s="435">
        <v>3</v>
      </c>
    </row>
    <row r="258" spans="3:8" x14ac:dyDescent="0.2">
      <c r="C258" s="436">
        <v>25</v>
      </c>
      <c r="D258" s="436">
        <v>2</v>
      </c>
      <c r="G258" s="435">
        <v>7</v>
      </c>
      <c r="H258" s="435">
        <v>1</v>
      </c>
    </row>
    <row r="259" spans="3:8" x14ac:dyDescent="0.2">
      <c r="C259" s="436">
        <v>10</v>
      </c>
      <c r="D259" s="436">
        <v>1</v>
      </c>
      <c r="G259" s="435">
        <v>13</v>
      </c>
      <c r="H259" s="435">
        <v>3</v>
      </c>
    </row>
    <row r="260" spans="3:8" x14ac:dyDescent="0.2">
      <c r="C260" s="436">
        <v>11</v>
      </c>
      <c r="D260" s="436">
        <v>1</v>
      </c>
      <c r="G260" s="435">
        <v>11</v>
      </c>
      <c r="H260" s="435">
        <v>2</v>
      </c>
    </row>
    <row r="261" spans="3:8" x14ac:dyDescent="0.2">
      <c r="C261" s="436">
        <v>9</v>
      </c>
      <c r="D261" s="436">
        <v>1</v>
      </c>
      <c r="G261" s="435">
        <v>10</v>
      </c>
      <c r="H261" s="435">
        <v>2</v>
      </c>
    </row>
    <row r="262" spans="3:8" x14ac:dyDescent="0.2">
      <c r="C262" s="436">
        <v>10</v>
      </c>
      <c r="D262" s="436">
        <v>2</v>
      </c>
      <c r="G262" s="435">
        <v>12</v>
      </c>
      <c r="H262" s="435">
        <v>3</v>
      </c>
    </row>
    <row r="263" spans="3:8" x14ac:dyDescent="0.2">
      <c r="C263" s="436">
        <v>8</v>
      </c>
      <c r="D263" s="436">
        <v>1</v>
      </c>
      <c r="G263" s="435">
        <v>12</v>
      </c>
      <c r="H263" s="435">
        <v>2</v>
      </c>
    </row>
    <row r="264" spans="3:8" x14ac:dyDescent="0.2">
      <c r="C264" s="436">
        <v>8</v>
      </c>
      <c r="D264" s="436">
        <v>1</v>
      </c>
      <c r="G264" s="435">
        <v>10</v>
      </c>
      <c r="H264" s="435">
        <v>2</v>
      </c>
    </row>
    <row r="265" spans="3:8" x14ac:dyDescent="0.2">
      <c r="C265" s="436">
        <v>12</v>
      </c>
      <c r="D265" s="436">
        <v>2</v>
      </c>
      <c r="G265" s="435">
        <v>13</v>
      </c>
      <c r="H265" s="435">
        <v>3</v>
      </c>
    </row>
    <row r="266" spans="3:8" x14ac:dyDescent="0.2">
      <c r="C266" s="436">
        <v>8</v>
      </c>
      <c r="D266" s="436">
        <v>1</v>
      </c>
      <c r="G266" s="435">
        <v>10</v>
      </c>
      <c r="H266" s="435">
        <v>2</v>
      </c>
    </row>
    <row r="267" spans="3:8" x14ac:dyDescent="0.2">
      <c r="C267" s="436">
        <v>10</v>
      </c>
      <c r="D267" s="436">
        <v>1</v>
      </c>
      <c r="G267" s="435">
        <v>10</v>
      </c>
      <c r="H267" s="435">
        <v>1</v>
      </c>
    </row>
    <row r="268" spans="3:8" x14ac:dyDescent="0.2">
      <c r="C268" s="436">
        <v>10</v>
      </c>
      <c r="D268" s="436">
        <v>1</v>
      </c>
      <c r="G268" s="435">
        <v>5</v>
      </c>
      <c r="H268" s="435">
        <v>1</v>
      </c>
    </row>
    <row r="269" spans="3:8" x14ac:dyDescent="0.2">
      <c r="C269" s="436">
        <v>18</v>
      </c>
      <c r="D269" s="436">
        <v>2</v>
      </c>
      <c r="G269" s="435">
        <v>5</v>
      </c>
      <c r="H269" s="435">
        <v>1</v>
      </c>
    </row>
    <row r="270" spans="3:8" x14ac:dyDescent="0.2">
      <c r="C270" s="436">
        <v>26</v>
      </c>
      <c r="D270" s="436">
        <v>2</v>
      </c>
      <c r="G270" s="435">
        <v>7</v>
      </c>
      <c r="H270" s="435">
        <v>1</v>
      </c>
    </row>
    <row r="271" spans="3:8" x14ac:dyDescent="0.2">
      <c r="C271" s="436">
        <v>10</v>
      </c>
      <c r="D271" s="436">
        <v>2</v>
      </c>
      <c r="G271" s="435">
        <v>13</v>
      </c>
      <c r="H271" s="435">
        <v>3</v>
      </c>
    </row>
    <row r="272" spans="3:8" x14ac:dyDescent="0.2">
      <c r="C272" s="436">
        <v>7</v>
      </c>
      <c r="D272" s="436">
        <v>1</v>
      </c>
      <c r="G272" s="435">
        <v>11</v>
      </c>
      <c r="H272" s="435">
        <v>2</v>
      </c>
    </row>
    <row r="273" spans="3:8" x14ac:dyDescent="0.2">
      <c r="C273" s="436">
        <v>14</v>
      </c>
      <c r="D273" s="436">
        <v>2</v>
      </c>
      <c r="G273" s="435">
        <v>11</v>
      </c>
      <c r="H273" s="435">
        <v>2</v>
      </c>
    </row>
    <row r="274" spans="3:8" x14ac:dyDescent="0.2">
      <c r="C274" s="436">
        <v>7</v>
      </c>
      <c r="D274" s="436">
        <v>1</v>
      </c>
      <c r="G274" s="435">
        <v>10</v>
      </c>
      <c r="H274" s="435">
        <v>1</v>
      </c>
    </row>
    <row r="275" spans="3:8" x14ac:dyDescent="0.2">
      <c r="C275" s="436">
        <v>25</v>
      </c>
      <c r="D275" s="436">
        <v>3</v>
      </c>
      <c r="G275" s="435">
        <v>12</v>
      </c>
      <c r="H275" s="435">
        <v>2</v>
      </c>
    </row>
    <row r="276" spans="3:8" x14ac:dyDescent="0.2">
      <c r="C276" s="436">
        <v>10</v>
      </c>
      <c r="D276" s="436">
        <v>2</v>
      </c>
      <c r="G276" s="435">
        <v>11</v>
      </c>
      <c r="H276" s="435">
        <v>2</v>
      </c>
    </row>
    <row r="277" spans="3:8" x14ac:dyDescent="0.2">
      <c r="C277" s="436">
        <v>10</v>
      </c>
      <c r="D277" s="436">
        <v>2</v>
      </c>
      <c r="G277" s="435">
        <v>11</v>
      </c>
      <c r="H277" s="435">
        <v>2</v>
      </c>
    </row>
    <row r="278" spans="3:8" x14ac:dyDescent="0.2">
      <c r="C278" s="436">
        <v>14</v>
      </c>
      <c r="D278" s="436">
        <v>2</v>
      </c>
      <c r="G278" s="435">
        <v>12</v>
      </c>
      <c r="H278" s="435">
        <v>2</v>
      </c>
    </row>
    <row r="279" spans="3:8" x14ac:dyDescent="0.2">
      <c r="C279" s="436">
        <v>14</v>
      </c>
      <c r="D279" s="436">
        <v>2</v>
      </c>
      <c r="G279" s="435">
        <v>11</v>
      </c>
      <c r="H279" s="435">
        <v>2</v>
      </c>
    </row>
    <row r="280" spans="3:8" x14ac:dyDescent="0.2">
      <c r="C280" s="436">
        <v>12</v>
      </c>
      <c r="D280" s="436">
        <v>1</v>
      </c>
      <c r="G280" s="435">
        <v>5</v>
      </c>
      <c r="H280" s="435">
        <v>1</v>
      </c>
    </row>
    <row r="281" spans="3:8" x14ac:dyDescent="0.2">
      <c r="C281" s="436">
        <v>6</v>
      </c>
      <c r="D281" s="436">
        <v>1</v>
      </c>
      <c r="G281" s="435">
        <v>5</v>
      </c>
      <c r="H281" s="435">
        <v>1</v>
      </c>
    </row>
    <row r="282" spans="3:8" x14ac:dyDescent="0.2">
      <c r="C282" s="436">
        <v>6</v>
      </c>
      <c r="D282" s="436">
        <v>1</v>
      </c>
      <c r="G282" s="435">
        <v>11</v>
      </c>
      <c r="H282" s="435">
        <v>2</v>
      </c>
    </row>
    <row r="283" spans="3:8" x14ac:dyDescent="0.2">
      <c r="C283" s="436">
        <v>9</v>
      </c>
      <c r="D283" s="436">
        <v>1</v>
      </c>
      <c r="G283" s="435">
        <v>13</v>
      </c>
      <c r="H283" s="435">
        <v>3</v>
      </c>
    </row>
    <row r="284" spans="3:8" x14ac:dyDescent="0.2">
      <c r="C284" s="436">
        <v>12</v>
      </c>
      <c r="D284" s="436">
        <v>2</v>
      </c>
      <c r="G284" s="435">
        <v>8</v>
      </c>
      <c r="H284" s="435">
        <v>1</v>
      </c>
    </row>
    <row r="285" spans="3:8" x14ac:dyDescent="0.2">
      <c r="C285" s="436">
        <v>14</v>
      </c>
      <c r="D285" s="436">
        <v>2</v>
      </c>
      <c r="G285" s="435">
        <v>7</v>
      </c>
      <c r="H285" s="435">
        <v>1</v>
      </c>
    </row>
    <row r="286" spans="3:8" x14ac:dyDescent="0.2">
      <c r="C286" s="436">
        <v>7</v>
      </c>
      <c r="D286" s="436">
        <v>1</v>
      </c>
      <c r="G286" s="435">
        <v>5</v>
      </c>
      <c r="H286" s="435">
        <v>1</v>
      </c>
    </row>
    <row r="287" spans="3:8" x14ac:dyDescent="0.2">
      <c r="C287" s="436">
        <v>15</v>
      </c>
      <c r="D287" s="436">
        <v>2</v>
      </c>
      <c r="G287" s="435">
        <v>10</v>
      </c>
      <c r="H287" s="435">
        <v>1</v>
      </c>
    </row>
    <row r="288" spans="3:8" x14ac:dyDescent="0.2">
      <c r="C288" s="436">
        <v>14</v>
      </c>
      <c r="D288" s="436">
        <v>1</v>
      </c>
      <c r="G288" s="435">
        <v>10</v>
      </c>
      <c r="H288" s="435">
        <v>2</v>
      </c>
    </row>
    <row r="289" spans="3:8" x14ac:dyDescent="0.2">
      <c r="C289" s="436">
        <v>11</v>
      </c>
      <c r="D289" s="436">
        <v>1</v>
      </c>
      <c r="G289" s="435">
        <v>5</v>
      </c>
      <c r="H289" s="435">
        <v>1</v>
      </c>
    </row>
    <row r="290" spans="3:8" x14ac:dyDescent="0.2">
      <c r="C290" s="438">
        <v>19</v>
      </c>
      <c r="D290" s="436">
        <v>2</v>
      </c>
      <c r="G290" s="435">
        <v>11</v>
      </c>
      <c r="H290" s="435">
        <v>2</v>
      </c>
    </row>
    <row r="291" spans="3:8" x14ac:dyDescent="0.2">
      <c r="C291" s="436">
        <v>18</v>
      </c>
      <c r="D291" s="436">
        <v>2</v>
      </c>
      <c r="G291" s="435">
        <v>6</v>
      </c>
      <c r="H291" s="435">
        <v>1</v>
      </c>
    </row>
    <row r="292" spans="3:8" x14ac:dyDescent="0.2">
      <c r="C292" s="436">
        <v>19</v>
      </c>
      <c r="D292" s="436">
        <v>2</v>
      </c>
      <c r="G292" s="435">
        <v>8</v>
      </c>
      <c r="H292" s="435">
        <v>2</v>
      </c>
    </row>
    <row r="293" spans="3:8" x14ac:dyDescent="0.2">
      <c r="C293" s="436">
        <v>11</v>
      </c>
      <c r="D293" s="436">
        <v>1</v>
      </c>
      <c r="G293" s="435">
        <v>10</v>
      </c>
      <c r="H293" s="435">
        <v>2</v>
      </c>
    </row>
    <row r="294" spans="3:8" x14ac:dyDescent="0.2">
      <c r="C294" s="436">
        <v>9</v>
      </c>
      <c r="D294" s="436">
        <v>2</v>
      </c>
      <c r="G294" s="435">
        <v>11</v>
      </c>
      <c r="H294" s="435">
        <v>2</v>
      </c>
    </row>
    <row r="295" spans="3:8" x14ac:dyDescent="0.2">
      <c r="C295" s="436">
        <v>9</v>
      </c>
      <c r="D295" s="436">
        <v>1</v>
      </c>
      <c r="G295" s="435">
        <v>13</v>
      </c>
      <c r="H295" s="435">
        <v>2</v>
      </c>
    </row>
    <row r="296" spans="3:8" x14ac:dyDescent="0.2">
      <c r="C296" s="436">
        <v>17</v>
      </c>
      <c r="D296" s="436">
        <v>2</v>
      </c>
      <c r="G296" s="435">
        <v>11</v>
      </c>
      <c r="H296" s="435">
        <v>2</v>
      </c>
    </row>
    <row r="297" spans="3:8" x14ac:dyDescent="0.2">
      <c r="C297" s="436">
        <v>18</v>
      </c>
      <c r="D297" s="436">
        <v>2</v>
      </c>
      <c r="G297" s="435">
        <v>7</v>
      </c>
      <c r="H297" s="435">
        <v>1</v>
      </c>
    </row>
    <row r="298" spans="3:8" x14ac:dyDescent="0.2">
      <c r="C298" s="436">
        <v>9</v>
      </c>
      <c r="D298" s="436">
        <v>2</v>
      </c>
      <c r="G298" s="435">
        <v>7</v>
      </c>
      <c r="H298" s="435">
        <v>1</v>
      </c>
    </row>
    <row r="299" spans="3:8" x14ac:dyDescent="0.2">
      <c r="C299" s="436">
        <v>14</v>
      </c>
      <c r="D299" s="436">
        <v>2</v>
      </c>
      <c r="G299" s="435">
        <v>7</v>
      </c>
      <c r="H299" s="435">
        <v>1</v>
      </c>
    </row>
    <row r="300" spans="3:8" x14ac:dyDescent="0.2">
      <c r="C300" s="436">
        <v>16</v>
      </c>
      <c r="D300" s="436">
        <v>2</v>
      </c>
      <c r="G300" s="435">
        <v>6</v>
      </c>
      <c r="H300" s="435">
        <v>2</v>
      </c>
    </row>
    <row r="301" spans="3:8" x14ac:dyDescent="0.2">
      <c r="C301" s="436">
        <v>15</v>
      </c>
      <c r="D301" s="436">
        <v>1</v>
      </c>
      <c r="G301" s="435">
        <v>7</v>
      </c>
      <c r="H301" s="435">
        <v>2</v>
      </c>
    </row>
    <row r="302" spans="3:8" x14ac:dyDescent="0.2">
      <c r="C302" s="436">
        <v>12</v>
      </c>
      <c r="D302" s="436">
        <v>1</v>
      </c>
      <c r="G302" s="435">
        <v>13</v>
      </c>
      <c r="H302" s="435">
        <v>3</v>
      </c>
    </row>
    <row r="303" spans="3:8" x14ac:dyDescent="0.2">
      <c r="C303" s="436">
        <v>23</v>
      </c>
      <c r="D303" s="436">
        <v>2</v>
      </c>
      <c r="G303" s="435">
        <v>7</v>
      </c>
      <c r="H303" s="435">
        <v>1</v>
      </c>
    </row>
    <row r="304" spans="3:8" x14ac:dyDescent="0.2">
      <c r="C304" s="436">
        <v>13</v>
      </c>
      <c r="D304" s="436">
        <v>1</v>
      </c>
      <c r="G304" s="435">
        <v>8</v>
      </c>
      <c r="H304" s="435">
        <v>2</v>
      </c>
    </row>
    <row r="305" spans="3:8" x14ac:dyDescent="0.2">
      <c r="C305" s="436">
        <v>10</v>
      </c>
      <c r="D305" s="436">
        <v>2</v>
      </c>
      <c r="G305" s="435">
        <v>18</v>
      </c>
      <c r="H305" s="435">
        <v>4</v>
      </c>
    </row>
    <row r="306" spans="3:8" x14ac:dyDescent="0.2">
      <c r="C306" s="436">
        <v>15</v>
      </c>
      <c r="D306" s="436">
        <v>2</v>
      </c>
      <c r="G306" s="435">
        <v>6</v>
      </c>
      <c r="H306" s="435">
        <v>1</v>
      </c>
    </row>
    <row r="307" spans="3:8" x14ac:dyDescent="0.2">
      <c r="C307" s="436">
        <v>15</v>
      </c>
      <c r="D307" s="436">
        <v>1</v>
      </c>
      <c r="G307" s="435">
        <v>13</v>
      </c>
      <c r="H307" s="435">
        <v>3</v>
      </c>
    </row>
    <row r="308" spans="3:8" x14ac:dyDescent="0.2">
      <c r="C308" s="436">
        <v>12</v>
      </c>
      <c r="D308" s="436">
        <v>1</v>
      </c>
      <c r="G308" s="435">
        <v>7</v>
      </c>
      <c r="H308" s="435">
        <v>1</v>
      </c>
    </row>
    <row r="309" spans="3:8" x14ac:dyDescent="0.2">
      <c r="C309" s="436">
        <v>11</v>
      </c>
      <c r="D309" s="436">
        <v>1</v>
      </c>
      <c r="G309" s="435">
        <v>6</v>
      </c>
      <c r="H309" s="435">
        <v>1</v>
      </c>
    </row>
    <row r="310" spans="3:8" x14ac:dyDescent="0.2">
      <c r="C310" s="436">
        <v>22</v>
      </c>
      <c r="D310" s="436">
        <v>1</v>
      </c>
      <c r="G310" s="435">
        <v>18</v>
      </c>
      <c r="H310" s="435">
        <v>4</v>
      </c>
    </row>
    <row r="311" spans="3:8" x14ac:dyDescent="0.2">
      <c r="C311" s="436">
        <v>9</v>
      </c>
      <c r="D311" s="436">
        <v>1</v>
      </c>
      <c r="G311" s="435">
        <v>8</v>
      </c>
      <c r="H311" s="435">
        <v>3</v>
      </c>
    </row>
    <row r="312" spans="3:8" x14ac:dyDescent="0.2">
      <c r="C312" s="439">
        <v>9</v>
      </c>
      <c r="D312" s="439">
        <v>2</v>
      </c>
      <c r="G312" s="435">
        <v>10</v>
      </c>
      <c r="H312" s="435">
        <v>2</v>
      </c>
    </row>
    <row r="313" spans="3:8" x14ac:dyDescent="0.2">
      <c r="C313" s="157">
        <v>31</v>
      </c>
      <c r="D313" s="157">
        <v>3</v>
      </c>
      <c r="G313" s="435">
        <v>12</v>
      </c>
      <c r="H313" s="435">
        <v>2</v>
      </c>
    </row>
    <row r="314" spans="3:8" x14ac:dyDescent="0.2">
      <c r="C314" s="157">
        <v>30</v>
      </c>
      <c r="D314" s="157">
        <v>3</v>
      </c>
      <c r="G314" s="435">
        <v>13</v>
      </c>
      <c r="H314" s="435">
        <v>3</v>
      </c>
    </row>
    <row r="315" spans="3:8" x14ac:dyDescent="0.2">
      <c r="C315" s="157">
        <v>31</v>
      </c>
      <c r="D315" s="157">
        <v>2</v>
      </c>
      <c r="G315" s="435">
        <v>11</v>
      </c>
      <c r="H315" s="435">
        <v>2</v>
      </c>
    </row>
    <row r="316" spans="3:8" x14ac:dyDescent="0.2">
      <c r="C316" s="157">
        <v>23</v>
      </c>
      <c r="D316" s="157">
        <v>2</v>
      </c>
      <c r="G316" s="435">
        <v>13</v>
      </c>
      <c r="H316" s="435">
        <v>3</v>
      </c>
    </row>
    <row r="317" spans="3:8" x14ac:dyDescent="0.2">
      <c r="C317" s="157">
        <v>26</v>
      </c>
      <c r="D317" s="157">
        <v>3</v>
      </c>
      <c r="G317" s="435">
        <v>12</v>
      </c>
      <c r="H317" s="435">
        <v>2</v>
      </c>
    </row>
    <row r="318" spans="3:8" x14ac:dyDescent="0.2">
      <c r="C318" s="157">
        <v>15</v>
      </c>
      <c r="D318" s="157">
        <v>2</v>
      </c>
      <c r="G318" s="435">
        <v>12</v>
      </c>
      <c r="H318" s="435">
        <v>2</v>
      </c>
    </row>
    <row r="319" spans="3:8" x14ac:dyDescent="0.2">
      <c r="C319" s="157">
        <v>12</v>
      </c>
      <c r="D319" s="157">
        <v>1</v>
      </c>
      <c r="G319" s="435">
        <v>16</v>
      </c>
      <c r="H319" s="435">
        <v>3</v>
      </c>
    </row>
    <row r="320" spans="3:8" x14ac:dyDescent="0.2">
      <c r="C320" s="157">
        <v>7</v>
      </c>
      <c r="D320" s="157">
        <v>1</v>
      </c>
      <c r="G320" s="435">
        <v>14</v>
      </c>
      <c r="H320" s="435">
        <v>3</v>
      </c>
    </row>
    <row r="321" spans="3:8" x14ac:dyDescent="0.2">
      <c r="C321" s="157">
        <v>11</v>
      </c>
      <c r="D321" s="157">
        <v>1</v>
      </c>
      <c r="G321" s="435">
        <v>12</v>
      </c>
      <c r="H321" s="435">
        <v>3</v>
      </c>
    </row>
    <row r="322" spans="3:8" x14ac:dyDescent="0.2">
      <c r="C322" s="157">
        <v>5</v>
      </c>
      <c r="D322" s="157">
        <v>1</v>
      </c>
      <c r="G322" s="435">
        <v>13</v>
      </c>
      <c r="H322" s="435">
        <v>3</v>
      </c>
    </row>
    <row r="323" spans="3:8" x14ac:dyDescent="0.2">
      <c r="C323" s="157">
        <v>5</v>
      </c>
      <c r="D323" s="157">
        <v>1</v>
      </c>
      <c r="G323" s="435">
        <v>18</v>
      </c>
      <c r="H323" s="435">
        <v>4</v>
      </c>
    </row>
    <row r="324" spans="3:8" x14ac:dyDescent="0.2">
      <c r="C324" s="157">
        <v>18</v>
      </c>
      <c r="D324" s="157">
        <v>1</v>
      </c>
      <c r="G324" s="435">
        <v>11</v>
      </c>
      <c r="H324" s="435">
        <v>2</v>
      </c>
    </row>
    <row r="325" spans="3:8" x14ac:dyDescent="0.2">
      <c r="C325" s="157">
        <v>12</v>
      </c>
      <c r="D325" s="157">
        <v>1</v>
      </c>
      <c r="G325" s="435">
        <v>6</v>
      </c>
      <c r="H325" s="435">
        <v>1</v>
      </c>
    </row>
    <row r="326" spans="3:8" x14ac:dyDescent="0.2">
      <c r="C326" s="157">
        <v>7</v>
      </c>
      <c r="D326" s="157">
        <v>1</v>
      </c>
      <c r="G326" s="435">
        <v>7</v>
      </c>
      <c r="H326" s="435">
        <v>1</v>
      </c>
    </row>
    <row r="327" spans="3:8" x14ac:dyDescent="0.2">
      <c r="C327" s="157">
        <v>13</v>
      </c>
      <c r="D327" s="157">
        <v>2</v>
      </c>
      <c r="G327" s="435">
        <v>12</v>
      </c>
      <c r="H327" s="435">
        <v>3</v>
      </c>
    </row>
    <row r="328" spans="3:8" x14ac:dyDescent="0.2">
      <c r="C328" s="157">
        <v>14</v>
      </c>
      <c r="D328" s="157">
        <v>2</v>
      </c>
      <c r="G328" s="435">
        <v>12</v>
      </c>
      <c r="H328" s="435">
        <v>3</v>
      </c>
    </row>
    <row r="329" spans="3:8" x14ac:dyDescent="0.2">
      <c r="C329" s="157">
        <v>5</v>
      </c>
      <c r="D329" s="157">
        <v>1</v>
      </c>
      <c r="G329" s="435">
        <v>16</v>
      </c>
      <c r="H329" s="435">
        <v>3</v>
      </c>
    </row>
    <row r="330" spans="3:8" x14ac:dyDescent="0.2">
      <c r="C330" s="157">
        <v>12</v>
      </c>
      <c r="D330" s="157">
        <v>2</v>
      </c>
      <c r="G330" s="435">
        <v>13</v>
      </c>
      <c r="H330" s="435">
        <v>3</v>
      </c>
    </row>
    <row r="331" spans="3:8" x14ac:dyDescent="0.2">
      <c r="C331" s="157">
        <v>10</v>
      </c>
      <c r="D331" s="157">
        <v>1</v>
      </c>
      <c r="G331" s="435">
        <v>12</v>
      </c>
      <c r="H331" s="435">
        <v>3</v>
      </c>
    </row>
    <row r="332" spans="3:8" x14ac:dyDescent="0.2">
      <c r="C332" s="157">
        <v>10</v>
      </c>
      <c r="D332" s="157">
        <v>2</v>
      </c>
      <c r="G332" s="435">
        <v>6</v>
      </c>
      <c r="H332" s="435">
        <v>1</v>
      </c>
    </row>
    <row r="333" spans="3:8" x14ac:dyDescent="0.2">
      <c r="C333" s="157">
        <v>5</v>
      </c>
      <c r="D333" s="157">
        <v>1</v>
      </c>
      <c r="G333" s="435">
        <v>10</v>
      </c>
      <c r="H333" s="435">
        <v>3</v>
      </c>
    </row>
    <row r="334" spans="3:8" x14ac:dyDescent="0.2">
      <c r="C334" s="157">
        <v>13</v>
      </c>
      <c r="D334" s="157">
        <v>1</v>
      </c>
      <c r="G334" s="435">
        <v>8</v>
      </c>
      <c r="H334" s="435">
        <v>1</v>
      </c>
    </row>
    <row r="335" spans="3:8" x14ac:dyDescent="0.2">
      <c r="C335" s="157">
        <v>8</v>
      </c>
      <c r="D335" s="157">
        <v>1</v>
      </c>
      <c r="G335" s="435">
        <v>13</v>
      </c>
      <c r="H335" s="435">
        <v>3</v>
      </c>
    </row>
    <row r="336" spans="3:8" x14ac:dyDescent="0.2">
      <c r="C336" s="157">
        <v>12</v>
      </c>
      <c r="D336" s="157">
        <v>1</v>
      </c>
      <c r="G336" s="435">
        <v>10</v>
      </c>
      <c r="H336" s="435">
        <v>2</v>
      </c>
    </row>
    <row r="337" spans="3:8" x14ac:dyDescent="0.2">
      <c r="C337" s="157">
        <v>13</v>
      </c>
      <c r="D337" s="157">
        <v>1</v>
      </c>
      <c r="G337" s="435">
        <v>13</v>
      </c>
      <c r="H337" s="435">
        <v>2</v>
      </c>
    </row>
    <row r="338" spans="3:8" x14ac:dyDescent="0.2">
      <c r="C338" s="157">
        <v>12</v>
      </c>
      <c r="D338" s="157">
        <v>1</v>
      </c>
      <c r="G338" s="435">
        <v>9</v>
      </c>
      <c r="H338" s="435">
        <v>2</v>
      </c>
    </row>
    <row r="339" spans="3:8" x14ac:dyDescent="0.2">
      <c r="C339" s="157">
        <v>19</v>
      </c>
      <c r="D339" s="157">
        <v>2</v>
      </c>
      <c r="G339" s="435">
        <v>8</v>
      </c>
      <c r="H339" s="435">
        <v>2</v>
      </c>
    </row>
    <row r="340" spans="3:8" x14ac:dyDescent="0.2">
      <c r="C340" s="157">
        <v>8</v>
      </c>
      <c r="D340" s="157">
        <v>1</v>
      </c>
      <c r="G340" s="435">
        <v>9</v>
      </c>
      <c r="H340" s="435">
        <v>2</v>
      </c>
    </row>
    <row r="341" spans="3:8" x14ac:dyDescent="0.2">
      <c r="C341" s="157">
        <v>9</v>
      </c>
      <c r="D341" s="157">
        <v>1</v>
      </c>
      <c r="G341" s="435">
        <v>11</v>
      </c>
      <c r="H341" s="435">
        <v>3</v>
      </c>
    </row>
    <row r="342" spans="3:8" x14ac:dyDescent="0.2">
      <c r="C342" s="157">
        <v>15</v>
      </c>
      <c r="D342" s="157">
        <v>2</v>
      </c>
      <c r="G342" s="435">
        <v>11</v>
      </c>
      <c r="H342" s="435">
        <v>3</v>
      </c>
    </row>
    <row r="343" spans="3:8" x14ac:dyDescent="0.2">
      <c r="C343" s="157">
        <v>7</v>
      </c>
      <c r="D343" s="157">
        <v>1</v>
      </c>
      <c r="G343" s="435">
        <v>12</v>
      </c>
      <c r="H343" s="435">
        <v>3</v>
      </c>
    </row>
    <row r="344" spans="3:8" x14ac:dyDescent="0.2">
      <c r="C344" s="157">
        <v>14</v>
      </c>
      <c r="D344" s="157">
        <v>2</v>
      </c>
      <c r="G344" s="435">
        <v>12</v>
      </c>
      <c r="H344" s="435">
        <v>3</v>
      </c>
    </row>
    <row r="345" spans="3:8" x14ac:dyDescent="0.2">
      <c r="C345" s="157">
        <v>8</v>
      </c>
      <c r="D345" s="157">
        <v>1</v>
      </c>
      <c r="G345" s="435">
        <v>11</v>
      </c>
      <c r="H345" s="435">
        <v>2</v>
      </c>
    </row>
    <row r="346" spans="3:8" x14ac:dyDescent="0.2">
      <c r="C346" s="157">
        <v>6</v>
      </c>
      <c r="D346" s="157">
        <v>1</v>
      </c>
      <c r="G346" s="435">
        <v>13</v>
      </c>
      <c r="H346" s="435">
        <v>3</v>
      </c>
    </row>
    <row r="347" spans="3:8" x14ac:dyDescent="0.2">
      <c r="C347" s="157">
        <v>14</v>
      </c>
      <c r="D347" s="157">
        <v>2</v>
      </c>
      <c r="G347" s="435">
        <v>11</v>
      </c>
      <c r="H347" s="435">
        <v>2</v>
      </c>
    </row>
    <row r="348" spans="3:8" x14ac:dyDescent="0.2">
      <c r="C348" s="157">
        <v>9</v>
      </c>
      <c r="D348" s="157">
        <v>1</v>
      </c>
      <c r="G348" s="435">
        <v>7</v>
      </c>
      <c r="H348" s="435">
        <v>2</v>
      </c>
    </row>
    <row r="349" spans="3:8" x14ac:dyDescent="0.2">
      <c r="C349" s="157">
        <v>7</v>
      </c>
      <c r="D349" s="157">
        <v>1</v>
      </c>
      <c r="G349" s="435">
        <v>13</v>
      </c>
      <c r="H349" s="435">
        <v>4</v>
      </c>
    </row>
    <row r="350" spans="3:8" x14ac:dyDescent="0.2">
      <c r="C350" s="157">
        <v>8</v>
      </c>
      <c r="D350" s="157">
        <v>1</v>
      </c>
      <c r="G350" s="435">
        <v>10</v>
      </c>
      <c r="H350" s="435">
        <v>2</v>
      </c>
    </row>
    <row r="351" spans="3:8" x14ac:dyDescent="0.2">
      <c r="C351" s="157">
        <v>13</v>
      </c>
      <c r="D351" s="157">
        <v>2</v>
      </c>
      <c r="G351" s="435">
        <v>13</v>
      </c>
      <c r="H351" s="435">
        <v>4</v>
      </c>
    </row>
    <row r="352" spans="3:8" x14ac:dyDescent="0.2">
      <c r="C352" s="157">
        <v>9</v>
      </c>
      <c r="D352" s="157">
        <v>1</v>
      </c>
      <c r="G352" s="435">
        <v>10</v>
      </c>
      <c r="H352" s="435">
        <v>3</v>
      </c>
    </row>
    <row r="353" spans="3:8" x14ac:dyDescent="0.2">
      <c r="C353" s="157">
        <v>12</v>
      </c>
      <c r="D353" s="157">
        <v>1</v>
      </c>
      <c r="G353" s="435">
        <v>12</v>
      </c>
      <c r="H353" s="435">
        <v>3</v>
      </c>
    </row>
    <row r="354" spans="3:8" x14ac:dyDescent="0.2">
      <c r="C354" s="157">
        <v>21</v>
      </c>
      <c r="D354" s="157">
        <v>2</v>
      </c>
      <c r="G354" s="435">
        <v>10</v>
      </c>
      <c r="H354" s="435">
        <v>2</v>
      </c>
    </row>
    <row r="355" spans="3:8" x14ac:dyDescent="0.2">
      <c r="C355" s="157">
        <v>8</v>
      </c>
      <c r="D355" s="157">
        <v>1</v>
      </c>
      <c r="G355" s="435">
        <v>7</v>
      </c>
      <c r="H355" s="435">
        <v>1</v>
      </c>
    </row>
    <row r="356" spans="3:8" x14ac:dyDescent="0.2">
      <c r="C356" s="157">
        <v>8</v>
      </c>
      <c r="D356" s="157">
        <v>1</v>
      </c>
      <c r="G356" s="435">
        <v>12</v>
      </c>
      <c r="H356" s="435">
        <v>3</v>
      </c>
    </row>
    <row r="357" spans="3:8" x14ac:dyDescent="0.2">
      <c r="C357" s="157">
        <v>15</v>
      </c>
      <c r="D357" s="157">
        <v>2</v>
      </c>
      <c r="G357" s="435">
        <v>12</v>
      </c>
      <c r="H357" s="435">
        <v>3</v>
      </c>
    </row>
    <row r="358" spans="3:8" x14ac:dyDescent="0.2">
      <c r="C358" s="157">
        <v>8</v>
      </c>
      <c r="D358" s="157">
        <v>1</v>
      </c>
      <c r="G358" s="435">
        <v>12</v>
      </c>
      <c r="H358" s="435">
        <v>3</v>
      </c>
    </row>
    <row r="359" spans="3:8" x14ac:dyDescent="0.2">
      <c r="C359" s="157">
        <v>12</v>
      </c>
      <c r="D359" s="157">
        <v>1</v>
      </c>
      <c r="G359" s="435">
        <v>13</v>
      </c>
      <c r="H359" s="435">
        <v>4</v>
      </c>
    </row>
    <row r="360" spans="3:8" x14ac:dyDescent="0.2">
      <c r="C360" s="157">
        <v>10</v>
      </c>
      <c r="D360" s="157">
        <v>1</v>
      </c>
      <c r="G360" s="435">
        <v>11</v>
      </c>
      <c r="H360" s="435">
        <v>2</v>
      </c>
    </row>
    <row r="361" spans="3:8" x14ac:dyDescent="0.2">
      <c r="C361" s="157">
        <v>15</v>
      </c>
      <c r="D361" s="157">
        <v>2</v>
      </c>
      <c r="G361" s="435">
        <v>12</v>
      </c>
      <c r="H361" s="435">
        <v>4</v>
      </c>
    </row>
    <row r="362" spans="3:8" x14ac:dyDescent="0.2">
      <c r="C362" s="157">
        <v>9</v>
      </c>
      <c r="D362" s="157">
        <v>2</v>
      </c>
      <c r="G362" s="435">
        <v>10</v>
      </c>
      <c r="H362" s="435">
        <v>2</v>
      </c>
    </row>
    <row r="363" spans="3:8" x14ac:dyDescent="0.2">
      <c r="C363" s="157">
        <v>5</v>
      </c>
      <c r="D363" s="157">
        <v>1</v>
      </c>
      <c r="G363" s="435">
        <v>12</v>
      </c>
      <c r="H363" s="435">
        <v>3</v>
      </c>
    </row>
    <row r="364" spans="3:8" x14ac:dyDescent="0.2">
      <c r="C364" s="157">
        <v>8</v>
      </c>
      <c r="D364" s="157">
        <v>1</v>
      </c>
      <c r="G364" s="435">
        <v>17</v>
      </c>
      <c r="H364" s="435">
        <v>4</v>
      </c>
    </row>
    <row r="365" spans="3:8" x14ac:dyDescent="0.2">
      <c r="C365" s="157">
        <v>8</v>
      </c>
      <c r="D365" s="157">
        <v>1</v>
      </c>
      <c r="G365" s="435">
        <v>11</v>
      </c>
      <c r="H365" s="435">
        <v>3</v>
      </c>
    </row>
    <row r="366" spans="3:8" x14ac:dyDescent="0.2">
      <c r="C366" s="157">
        <v>6</v>
      </c>
      <c r="D366" s="157">
        <v>1</v>
      </c>
      <c r="G366" s="435">
        <v>10</v>
      </c>
      <c r="H366" s="435">
        <v>3</v>
      </c>
    </row>
    <row r="367" spans="3:8" x14ac:dyDescent="0.2">
      <c r="C367" s="157">
        <v>6</v>
      </c>
      <c r="D367" s="157">
        <v>1</v>
      </c>
      <c r="G367" s="435">
        <v>11</v>
      </c>
      <c r="H367" s="435">
        <v>2</v>
      </c>
    </row>
    <row r="368" spans="3:8" x14ac:dyDescent="0.2">
      <c r="C368" s="157">
        <v>6</v>
      </c>
      <c r="D368" s="157">
        <v>1</v>
      </c>
      <c r="G368" s="435">
        <v>10</v>
      </c>
      <c r="H368" s="435">
        <v>3</v>
      </c>
    </row>
    <row r="369" spans="3:8" x14ac:dyDescent="0.2">
      <c r="C369" s="157">
        <v>8</v>
      </c>
      <c r="D369" s="157">
        <v>1</v>
      </c>
      <c r="G369" s="435">
        <v>15</v>
      </c>
      <c r="H369" s="435">
        <v>3</v>
      </c>
    </row>
    <row r="370" spans="3:8" x14ac:dyDescent="0.2">
      <c r="C370" s="157">
        <v>12</v>
      </c>
      <c r="D370" s="157">
        <v>2</v>
      </c>
      <c r="G370" s="435">
        <v>12</v>
      </c>
      <c r="H370" s="435">
        <v>3</v>
      </c>
    </row>
    <row r="371" spans="3:8" x14ac:dyDescent="0.2">
      <c r="C371" s="157">
        <v>11</v>
      </c>
      <c r="D371" s="157">
        <v>2</v>
      </c>
      <c r="G371" s="435">
        <v>6</v>
      </c>
      <c r="H371" s="435">
        <v>2</v>
      </c>
    </row>
    <row r="372" spans="3:8" x14ac:dyDescent="0.2">
      <c r="C372" s="157">
        <v>16</v>
      </c>
      <c r="D372" s="157">
        <v>2</v>
      </c>
      <c r="G372" s="435">
        <v>12</v>
      </c>
      <c r="H372" s="435">
        <v>3</v>
      </c>
    </row>
    <row r="373" spans="3:8" x14ac:dyDescent="0.2">
      <c r="C373" s="157">
        <v>9</v>
      </c>
      <c r="D373" s="157">
        <v>1</v>
      </c>
      <c r="G373" s="435">
        <v>7</v>
      </c>
      <c r="H373" s="435">
        <v>2</v>
      </c>
    </row>
    <row r="374" spans="3:8" x14ac:dyDescent="0.2">
      <c r="C374" s="157">
        <v>15</v>
      </c>
      <c r="D374" s="157">
        <v>1</v>
      </c>
      <c r="G374" s="435">
        <v>16</v>
      </c>
      <c r="H374" s="435">
        <v>5</v>
      </c>
    </row>
    <row r="375" spans="3:8" x14ac:dyDescent="0.2">
      <c r="C375" s="157">
        <v>14</v>
      </c>
      <c r="D375" s="157">
        <v>1</v>
      </c>
      <c r="G375" s="435">
        <v>11</v>
      </c>
      <c r="H375" s="435">
        <v>3</v>
      </c>
    </row>
    <row r="376" spans="3:8" x14ac:dyDescent="0.2">
      <c r="C376" s="157">
        <v>8</v>
      </c>
      <c r="D376" s="157">
        <v>1</v>
      </c>
      <c r="G376" s="435">
        <v>6</v>
      </c>
      <c r="H376" s="435">
        <v>1</v>
      </c>
    </row>
    <row r="377" spans="3:8" x14ac:dyDescent="0.2">
      <c r="C377" s="157">
        <v>13</v>
      </c>
      <c r="D377" s="157">
        <v>2</v>
      </c>
      <c r="G377" s="435">
        <v>7</v>
      </c>
      <c r="H377" s="435">
        <v>1</v>
      </c>
    </row>
    <row r="378" spans="3:8" x14ac:dyDescent="0.2">
      <c r="C378" s="157">
        <v>9</v>
      </c>
      <c r="D378" s="157">
        <v>1</v>
      </c>
      <c r="G378" s="435">
        <v>7</v>
      </c>
      <c r="H378" s="435">
        <v>2</v>
      </c>
    </row>
    <row r="379" spans="3:8" x14ac:dyDescent="0.2">
      <c r="C379" s="157">
        <v>16</v>
      </c>
      <c r="D379" s="157">
        <v>2</v>
      </c>
      <c r="G379" s="435">
        <v>8</v>
      </c>
      <c r="H379" s="435">
        <v>2</v>
      </c>
    </row>
    <row r="380" spans="3:8" x14ac:dyDescent="0.2">
      <c r="C380" s="157">
        <v>7</v>
      </c>
      <c r="D380" s="157">
        <v>1</v>
      </c>
      <c r="G380" s="435">
        <v>12</v>
      </c>
      <c r="H380" s="435">
        <v>3</v>
      </c>
    </row>
    <row r="381" spans="3:8" x14ac:dyDescent="0.2">
      <c r="C381" s="157">
        <v>15</v>
      </c>
      <c r="D381" s="157">
        <v>2</v>
      </c>
      <c r="G381" s="435">
        <v>12</v>
      </c>
      <c r="H381" s="435">
        <v>3</v>
      </c>
    </row>
    <row r="382" spans="3:8" x14ac:dyDescent="0.2">
      <c r="C382" s="157">
        <v>14</v>
      </c>
      <c r="D382" s="157">
        <v>2</v>
      </c>
      <c r="G382" s="435">
        <v>8</v>
      </c>
      <c r="H382" s="435">
        <v>2</v>
      </c>
    </row>
    <row r="383" spans="3:8" x14ac:dyDescent="0.2">
      <c r="C383" s="157">
        <v>16</v>
      </c>
      <c r="D383" s="157">
        <v>2</v>
      </c>
      <c r="G383" s="435">
        <v>11</v>
      </c>
      <c r="H383" s="435">
        <v>2</v>
      </c>
    </row>
    <row r="384" spans="3:8" x14ac:dyDescent="0.2">
      <c r="C384" s="157">
        <v>13</v>
      </c>
      <c r="D384" s="157">
        <v>2</v>
      </c>
      <c r="G384" s="435">
        <v>13</v>
      </c>
      <c r="H384" s="435">
        <v>4</v>
      </c>
    </row>
    <row r="385" spans="3:8" x14ac:dyDescent="0.2">
      <c r="C385" s="157">
        <v>19</v>
      </c>
      <c r="D385" s="157">
        <v>3</v>
      </c>
      <c r="G385" s="435">
        <v>11</v>
      </c>
      <c r="H385" s="435">
        <v>1</v>
      </c>
    </row>
    <row r="386" spans="3:8" x14ac:dyDescent="0.2">
      <c r="C386" s="157">
        <v>9</v>
      </c>
      <c r="D386" s="157">
        <v>1</v>
      </c>
      <c r="G386" s="435">
        <v>13</v>
      </c>
      <c r="H386" s="435">
        <v>3</v>
      </c>
    </row>
    <row r="387" spans="3:8" x14ac:dyDescent="0.2">
      <c r="C387" s="157">
        <v>18</v>
      </c>
      <c r="D387" s="157">
        <v>2</v>
      </c>
      <c r="G387" s="435">
        <v>15</v>
      </c>
      <c r="H387" s="435">
        <v>3</v>
      </c>
    </row>
    <row r="388" spans="3:8" x14ac:dyDescent="0.2">
      <c r="C388" s="157">
        <v>10</v>
      </c>
      <c r="D388" s="157">
        <v>1</v>
      </c>
      <c r="G388" s="435">
        <v>13</v>
      </c>
      <c r="H388" s="435">
        <v>4</v>
      </c>
    </row>
    <row r="389" spans="3:8" x14ac:dyDescent="0.2">
      <c r="C389" s="157">
        <v>12</v>
      </c>
      <c r="D389" s="157">
        <v>1</v>
      </c>
      <c r="G389" s="435">
        <v>12</v>
      </c>
      <c r="H389" s="435">
        <v>3</v>
      </c>
    </row>
    <row r="390" spans="3:8" x14ac:dyDescent="0.2">
      <c r="C390" s="157">
        <v>17</v>
      </c>
      <c r="D390" s="157">
        <v>2</v>
      </c>
      <c r="G390" s="435">
        <v>11</v>
      </c>
      <c r="H390" s="435">
        <v>3</v>
      </c>
    </row>
    <row r="391" spans="3:8" x14ac:dyDescent="0.2">
      <c r="C391" s="157">
        <v>8</v>
      </c>
      <c r="D391" s="157">
        <v>1</v>
      </c>
      <c r="G391" s="435">
        <v>11</v>
      </c>
      <c r="H391" s="435">
        <v>3</v>
      </c>
    </row>
    <row r="392" spans="3:8" x14ac:dyDescent="0.2">
      <c r="C392" s="157">
        <v>8</v>
      </c>
      <c r="D392" s="157">
        <v>1</v>
      </c>
      <c r="G392" s="435">
        <v>8</v>
      </c>
      <c r="H392" s="435">
        <v>2</v>
      </c>
    </row>
    <row r="393" spans="3:8" x14ac:dyDescent="0.2">
      <c r="C393" s="157">
        <v>13</v>
      </c>
      <c r="D393" s="157">
        <v>2</v>
      </c>
      <c r="G393" s="435">
        <v>6</v>
      </c>
      <c r="H393" s="435">
        <v>1</v>
      </c>
    </row>
    <row r="394" spans="3:8" x14ac:dyDescent="0.2">
      <c r="C394" s="157">
        <v>13</v>
      </c>
      <c r="D394" s="157">
        <v>2</v>
      </c>
      <c r="G394" s="435">
        <v>10</v>
      </c>
      <c r="H394" s="435">
        <v>2</v>
      </c>
    </row>
    <row r="395" spans="3:8" x14ac:dyDescent="0.2">
      <c r="C395" s="157">
        <v>10</v>
      </c>
      <c r="D395" s="157">
        <v>2</v>
      </c>
      <c r="G395" s="435">
        <v>12</v>
      </c>
      <c r="H395" s="435">
        <v>4</v>
      </c>
    </row>
    <row r="396" spans="3:8" x14ac:dyDescent="0.2">
      <c r="C396" s="157">
        <v>8</v>
      </c>
      <c r="D396" s="157">
        <v>1</v>
      </c>
      <c r="G396" s="435">
        <v>17</v>
      </c>
      <c r="H396" s="435">
        <v>4</v>
      </c>
    </row>
    <row r="397" spans="3:8" x14ac:dyDescent="0.2">
      <c r="C397" s="157">
        <v>10</v>
      </c>
      <c r="D397" s="157">
        <v>2</v>
      </c>
      <c r="G397" s="435">
        <v>12</v>
      </c>
      <c r="H397" s="435">
        <v>4</v>
      </c>
    </row>
    <row r="398" spans="3:8" x14ac:dyDescent="0.2">
      <c r="C398" s="157">
        <v>13</v>
      </c>
      <c r="D398" s="157">
        <v>2</v>
      </c>
      <c r="G398" s="435">
        <v>8</v>
      </c>
      <c r="H398" s="435">
        <v>3</v>
      </c>
    </row>
    <row r="399" spans="3:8" x14ac:dyDescent="0.2">
      <c r="C399" s="157">
        <v>24</v>
      </c>
      <c r="D399" s="157">
        <v>2</v>
      </c>
      <c r="G399" s="435">
        <v>5</v>
      </c>
      <c r="H399" s="435">
        <v>1</v>
      </c>
    </row>
    <row r="400" spans="3:8" x14ac:dyDescent="0.2">
      <c r="C400" s="157">
        <v>23</v>
      </c>
      <c r="D400" s="157">
        <v>3</v>
      </c>
      <c r="G400" s="435">
        <v>13</v>
      </c>
      <c r="H400" s="435">
        <v>4</v>
      </c>
    </row>
    <row r="401" spans="3:8" x14ac:dyDescent="0.2">
      <c r="C401" s="157">
        <v>7</v>
      </c>
      <c r="D401" s="157">
        <v>1</v>
      </c>
      <c r="G401" s="435">
        <v>11</v>
      </c>
      <c r="H401" s="435">
        <v>3</v>
      </c>
    </row>
    <row r="402" spans="3:8" x14ac:dyDescent="0.2">
      <c r="C402" s="157">
        <v>7</v>
      </c>
      <c r="D402" s="157">
        <v>1</v>
      </c>
      <c r="G402" s="435">
        <v>13</v>
      </c>
      <c r="H402" s="435">
        <v>3</v>
      </c>
    </row>
    <row r="403" spans="3:8" x14ac:dyDescent="0.2">
      <c r="C403" s="157">
        <v>15</v>
      </c>
      <c r="D403" s="157">
        <v>2</v>
      </c>
      <c r="G403" s="435">
        <v>11</v>
      </c>
      <c r="H403" s="435">
        <v>3</v>
      </c>
    </row>
    <row r="404" spans="3:8" x14ac:dyDescent="0.2">
      <c r="C404" s="157">
        <v>7</v>
      </c>
      <c r="D404" s="157">
        <v>1</v>
      </c>
      <c r="G404" s="435">
        <v>13</v>
      </c>
      <c r="H404" s="435">
        <v>4</v>
      </c>
    </row>
    <row r="405" spans="3:8" x14ac:dyDescent="0.2">
      <c r="C405" s="157">
        <v>7</v>
      </c>
      <c r="D405" s="157">
        <v>1</v>
      </c>
      <c r="G405" s="435">
        <v>5</v>
      </c>
      <c r="H405" s="435">
        <v>1</v>
      </c>
    </row>
    <row r="406" spans="3:8" x14ac:dyDescent="0.2">
      <c r="C406" s="157">
        <v>11</v>
      </c>
      <c r="D406" s="157">
        <v>2</v>
      </c>
      <c r="G406" s="435">
        <v>6</v>
      </c>
      <c r="H406" s="435">
        <v>2</v>
      </c>
    </row>
    <row r="407" spans="3:8" x14ac:dyDescent="0.2">
      <c r="C407" s="157">
        <v>13</v>
      </c>
      <c r="D407" s="157">
        <v>2</v>
      </c>
      <c r="G407" s="435">
        <v>6</v>
      </c>
      <c r="H407" s="435">
        <v>1</v>
      </c>
    </row>
    <row r="408" spans="3:8" x14ac:dyDescent="0.2">
      <c r="C408" s="157">
        <v>7</v>
      </c>
      <c r="D408" s="157">
        <v>1</v>
      </c>
      <c r="G408" s="435">
        <v>7</v>
      </c>
      <c r="H408" s="435">
        <v>2</v>
      </c>
    </row>
    <row r="409" spans="3:8" x14ac:dyDescent="0.2">
      <c r="C409" s="157">
        <v>12</v>
      </c>
      <c r="D409" s="157">
        <v>1</v>
      </c>
      <c r="G409" s="435">
        <v>11</v>
      </c>
      <c r="H409" s="435">
        <v>3</v>
      </c>
    </row>
    <row r="410" spans="3:8" x14ac:dyDescent="0.2">
      <c r="C410" s="157">
        <v>12</v>
      </c>
      <c r="D410" s="157">
        <v>1</v>
      </c>
      <c r="G410" s="435">
        <v>6</v>
      </c>
      <c r="H410" s="435">
        <v>1</v>
      </c>
    </row>
    <row r="411" spans="3:8" x14ac:dyDescent="0.2">
      <c r="C411" s="157">
        <v>9</v>
      </c>
      <c r="D411" s="157">
        <v>1</v>
      </c>
      <c r="G411" s="435">
        <v>6</v>
      </c>
      <c r="H411" s="435">
        <v>1</v>
      </c>
    </row>
    <row r="412" spans="3:8" x14ac:dyDescent="0.2">
      <c r="C412" s="157">
        <v>13</v>
      </c>
      <c r="D412" s="157">
        <v>2</v>
      </c>
      <c r="G412" s="435">
        <v>7</v>
      </c>
      <c r="H412" s="435">
        <v>2</v>
      </c>
    </row>
    <row r="413" spans="3:8" x14ac:dyDescent="0.2">
      <c r="C413" s="157">
        <v>12</v>
      </c>
      <c r="D413" s="157">
        <v>2</v>
      </c>
      <c r="G413" s="435">
        <v>5</v>
      </c>
      <c r="H413" s="435">
        <v>1</v>
      </c>
    </row>
    <row r="414" spans="3:8" x14ac:dyDescent="0.2">
      <c r="C414" s="157">
        <v>11</v>
      </c>
      <c r="D414" s="157">
        <v>1</v>
      </c>
      <c r="G414" s="435">
        <v>7</v>
      </c>
      <c r="H414" s="435">
        <v>2</v>
      </c>
    </row>
    <row r="415" spans="3:8" x14ac:dyDescent="0.2">
      <c r="C415" s="157">
        <v>9</v>
      </c>
      <c r="D415" s="157">
        <v>1</v>
      </c>
      <c r="G415" s="435">
        <v>8</v>
      </c>
      <c r="H415" s="435">
        <v>2</v>
      </c>
    </row>
    <row r="416" spans="3:8" x14ac:dyDescent="0.2">
      <c r="C416" s="157">
        <v>9</v>
      </c>
      <c r="D416" s="157">
        <v>1</v>
      </c>
      <c r="G416" s="435">
        <v>12</v>
      </c>
      <c r="H416" s="435">
        <v>3</v>
      </c>
    </row>
    <row r="417" spans="3:8" x14ac:dyDescent="0.2">
      <c r="C417" s="157">
        <v>7</v>
      </c>
      <c r="D417" s="157">
        <v>1</v>
      </c>
      <c r="G417" s="435">
        <v>13</v>
      </c>
      <c r="H417" s="435">
        <v>2</v>
      </c>
    </row>
    <row r="418" spans="3:8" x14ac:dyDescent="0.2">
      <c r="C418" s="157">
        <v>13</v>
      </c>
      <c r="D418" s="157">
        <v>2</v>
      </c>
      <c r="G418" s="435">
        <v>13</v>
      </c>
      <c r="H418" s="435">
        <v>2</v>
      </c>
    </row>
    <row r="419" spans="3:8" x14ac:dyDescent="0.2">
      <c r="C419" s="157">
        <v>10</v>
      </c>
      <c r="D419" s="157">
        <v>1</v>
      </c>
      <c r="G419" s="435">
        <v>16</v>
      </c>
      <c r="H419" s="435">
        <v>3</v>
      </c>
    </row>
    <row r="420" spans="3:8" x14ac:dyDescent="0.2">
      <c r="C420" s="157">
        <v>9</v>
      </c>
      <c r="D420" s="157">
        <v>1</v>
      </c>
      <c r="G420" s="435">
        <v>11</v>
      </c>
      <c r="H420" s="435">
        <v>2</v>
      </c>
    </row>
    <row r="421" spans="3:8" x14ac:dyDescent="0.2">
      <c r="C421" s="157">
        <v>13</v>
      </c>
      <c r="D421" s="157">
        <v>2</v>
      </c>
      <c r="G421" s="435">
        <v>16</v>
      </c>
      <c r="H421" s="435">
        <v>4</v>
      </c>
    </row>
    <row r="422" spans="3:8" x14ac:dyDescent="0.2">
      <c r="C422" s="157">
        <v>8</v>
      </c>
      <c r="D422" s="157">
        <v>1</v>
      </c>
      <c r="G422" s="435">
        <v>11</v>
      </c>
      <c r="H422" s="435">
        <v>2</v>
      </c>
    </row>
    <row r="423" spans="3:8" x14ac:dyDescent="0.2">
      <c r="C423" s="157">
        <v>12</v>
      </c>
      <c r="D423" s="157">
        <v>2</v>
      </c>
      <c r="G423" s="435">
        <v>14</v>
      </c>
      <c r="H423" s="435">
        <v>3</v>
      </c>
    </row>
    <row r="424" spans="3:8" x14ac:dyDescent="0.2">
      <c r="C424" s="157">
        <v>6</v>
      </c>
      <c r="D424" s="157">
        <v>1</v>
      </c>
      <c r="G424" s="435">
        <v>17</v>
      </c>
      <c r="H424" s="435">
        <v>4</v>
      </c>
    </row>
    <row r="425" spans="3:8" x14ac:dyDescent="0.2">
      <c r="C425" s="157">
        <v>17</v>
      </c>
      <c r="D425" s="157">
        <v>2</v>
      </c>
      <c r="G425" s="435">
        <v>17</v>
      </c>
      <c r="H425" s="435">
        <v>3</v>
      </c>
    </row>
    <row r="426" spans="3:8" x14ac:dyDescent="0.2">
      <c r="C426" s="157">
        <v>8</v>
      </c>
      <c r="D426" s="157">
        <v>1</v>
      </c>
      <c r="G426" s="435">
        <v>16</v>
      </c>
      <c r="H426" s="435">
        <v>3</v>
      </c>
    </row>
    <row r="427" spans="3:8" x14ac:dyDescent="0.2">
      <c r="C427" s="157">
        <v>9</v>
      </c>
      <c r="D427" s="157">
        <v>1</v>
      </c>
      <c r="G427" s="435">
        <v>12</v>
      </c>
      <c r="H427" s="435">
        <v>3</v>
      </c>
    </row>
    <row r="428" spans="3:8" x14ac:dyDescent="0.2">
      <c r="C428" s="157">
        <v>8</v>
      </c>
      <c r="D428" s="157">
        <v>1</v>
      </c>
      <c r="G428" s="435">
        <v>15</v>
      </c>
      <c r="H428" s="435">
        <v>3</v>
      </c>
    </row>
    <row r="429" spans="3:8" x14ac:dyDescent="0.2">
      <c r="C429" s="157">
        <v>10</v>
      </c>
      <c r="D429" s="157">
        <v>1</v>
      </c>
      <c r="G429" s="435">
        <v>13</v>
      </c>
      <c r="H429" s="435">
        <v>3</v>
      </c>
    </row>
    <row r="430" spans="3:8" x14ac:dyDescent="0.2">
      <c r="C430" s="157">
        <v>18</v>
      </c>
      <c r="D430" s="157">
        <v>3</v>
      </c>
      <c r="G430" s="435">
        <v>15</v>
      </c>
      <c r="H430" s="435">
        <v>3</v>
      </c>
    </row>
    <row r="431" spans="3:8" x14ac:dyDescent="0.2">
      <c r="C431" s="157">
        <v>6</v>
      </c>
      <c r="D431" s="157">
        <v>1</v>
      </c>
      <c r="G431" s="435">
        <v>17</v>
      </c>
      <c r="H431" s="435">
        <v>4</v>
      </c>
    </row>
    <row r="432" spans="3:8" x14ac:dyDescent="0.2">
      <c r="C432" s="157">
        <v>8</v>
      </c>
      <c r="D432" s="157">
        <v>1</v>
      </c>
      <c r="G432" s="435">
        <v>14</v>
      </c>
      <c r="H432" s="435">
        <v>3</v>
      </c>
    </row>
    <row r="433" spans="3:8" x14ac:dyDescent="0.2">
      <c r="C433" s="157">
        <v>12</v>
      </c>
      <c r="D433" s="157">
        <v>1</v>
      </c>
      <c r="G433" s="435">
        <v>13</v>
      </c>
      <c r="H433" s="435">
        <v>3</v>
      </c>
    </row>
    <row r="434" spans="3:8" x14ac:dyDescent="0.2">
      <c r="C434" s="157">
        <v>15</v>
      </c>
      <c r="D434" s="157">
        <v>2</v>
      </c>
      <c r="G434" s="435">
        <v>6</v>
      </c>
      <c r="H434" s="435">
        <v>1</v>
      </c>
    </row>
    <row r="435" spans="3:8" x14ac:dyDescent="0.2">
      <c r="C435" s="157">
        <v>8</v>
      </c>
      <c r="D435" s="157">
        <v>1</v>
      </c>
      <c r="G435" s="435">
        <v>12</v>
      </c>
      <c r="H435" s="435">
        <v>4</v>
      </c>
    </row>
    <row r="436" spans="3:8" x14ac:dyDescent="0.2">
      <c r="C436" s="157">
        <v>23</v>
      </c>
      <c r="D436" s="157">
        <v>2</v>
      </c>
      <c r="G436" s="435">
        <v>11</v>
      </c>
      <c r="H436" s="435">
        <v>2</v>
      </c>
    </row>
    <row r="437" spans="3:8" x14ac:dyDescent="0.2">
      <c r="C437" s="157">
        <v>16</v>
      </c>
      <c r="D437" s="157">
        <v>2</v>
      </c>
      <c r="G437" s="435">
        <v>13</v>
      </c>
      <c r="H437" s="435">
        <v>3</v>
      </c>
    </row>
    <row r="438" spans="3:8" x14ac:dyDescent="0.2">
      <c r="C438" s="157">
        <v>14</v>
      </c>
      <c r="D438" s="157">
        <v>2</v>
      </c>
      <c r="G438" s="435">
        <v>5</v>
      </c>
      <c r="H438" s="435">
        <v>1</v>
      </c>
    </row>
    <row r="439" spans="3:8" x14ac:dyDescent="0.2">
      <c r="C439" s="157">
        <v>13</v>
      </c>
      <c r="D439" s="157">
        <v>1</v>
      </c>
      <c r="G439" s="435">
        <v>11</v>
      </c>
      <c r="H439" s="435">
        <v>3</v>
      </c>
    </row>
    <row r="440" spans="3:8" x14ac:dyDescent="0.2">
      <c r="C440" s="157">
        <v>9</v>
      </c>
      <c r="D440" s="157">
        <v>1</v>
      </c>
      <c r="G440" s="435">
        <v>10</v>
      </c>
      <c r="H440" s="435">
        <v>3</v>
      </c>
    </row>
    <row r="441" spans="3:8" x14ac:dyDescent="0.2">
      <c r="C441" s="157">
        <v>12</v>
      </c>
      <c r="D441" s="157">
        <v>1</v>
      </c>
      <c r="G441" s="435">
        <v>16</v>
      </c>
      <c r="H441" s="435">
        <v>4</v>
      </c>
    </row>
    <row r="442" spans="3:8" x14ac:dyDescent="0.2">
      <c r="C442" s="157">
        <v>10</v>
      </c>
      <c r="D442" s="157">
        <v>2</v>
      </c>
      <c r="G442" s="435">
        <v>16</v>
      </c>
      <c r="H442" s="435">
        <v>5</v>
      </c>
    </row>
    <row r="443" spans="3:8" x14ac:dyDescent="0.2">
      <c r="C443" s="157">
        <v>16</v>
      </c>
      <c r="D443" s="157">
        <v>2</v>
      </c>
      <c r="G443" s="435">
        <v>17</v>
      </c>
      <c r="H443" s="435">
        <v>4</v>
      </c>
    </row>
    <row r="444" spans="3:8" x14ac:dyDescent="0.2">
      <c r="C444" s="157">
        <v>12</v>
      </c>
      <c r="D444" s="157">
        <v>1</v>
      </c>
      <c r="G444" s="435">
        <v>12</v>
      </c>
      <c r="H444" s="435">
        <v>3</v>
      </c>
    </row>
    <row r="445" spans="3:8" x14ac:dyDescent="0.2">
      <c r="C445" s="157">
        <v>9</v>
      </c>
      <c r="D445" s="157">
        <v>1</v>
      </c>
      <c r="G445" s="435">
        <v>10</v>
      </c>
      <c r="H445" s="435">
        <v>3</v>
      </c>
    </row>
    <row r="446" spans="3:8" x14ac:dyDescent="0.2">
      <c r="C446" s="157">
        <v>11</v>
      </c>
      <c r="D446" s="157">
        <v>2</v>
      </c>
      <c r="G446" s="435">
        <v>12</v>
      </c>
      <c r="H446" s="435">
        <v>3</v>
      </c>
    </row>
    <row r="447" spans="3:8" x14ac:dyDescent="0.2">
      <c r="C447" s="157">
        <v>9</v>
      </c>
      <c r="D447" s="157">
        <v>1</v>
      </c>
      <c r="G447" s="435">
        <v>14</v>
      </c>
      <c r="H447" s="435">
        <v>4</v>
      </c>
    </row>
    <row r="448" spans="3:8" x14ac:dyDescent="0.2">
      <c r="C448" s="157">
        <v>12</v>
      </c>
      <c r="D448" s="157">
        <v>2</v>
      </c>
      <c r="G448" s="435">
        <v>12</v>
      </c>
      <c r="H448" s="435">
        <v>4</v>
      </c>
    </row>
    <row r="449" spans="3:8" x14ac:dyDescent="0.2">
      <c r="C449" s="157">
        <v>9</v>
      </c>
      <c r="D449" s="157">
        <v>1</v>
      </c>
      <c r="G449" s="435">
        <v>6</v>
      </c>
      <c r="H449" s="435">
        <v>1</v>
      </c>
    </row>
    <row r="450" spans="3:8" x14ac:dyDescent="0.2">
      <c r="C450" s="157">
        <v>6</v>
      </c>
      <c r="D450" s="157">
        <v>1</v>
      </c>
      <c r="G450" s="435">
        <v>18</v>
      </c>
      <c r="H450" s="435">
        <v>5</v>
      </c>
    </row>
    <row r="451" spans="3:8" x14ac:dyDescent="0.2">
      <c r="C451" s="157">
        <v>8</v>
      </c>
      <c r="D451" s="157">
        <v>1</v>
      </c>
      <c r="G451" s="435">
        <v>15</v>
      </c>
      <c r="H451" s="435">
        <v>4</v>
      </c>
    </row>
    <row r="452" spans="3:8" x14ac:dyDescent="0.2">
      <c r="C452" s="157">
        <v>7</v>
      </c>
      <c r="D452" s="157">
        <v>1</v>
      </c>
      <c r="G452" s="435">
        <v>7</v>
      </c>
      <c r="H452" s="435">
        <v>3</v>
      </c>
    </row>
    <row r="453" spans="3:8" x14ac:dyDescent="0.2">
      <c r="C453" s="157">
        <v>7</v>
      </c>
      <c r="D453" s="157">
        <v>1</v>
      </c>
      <c r="G453" s="435">
        <v>6</v>
      </c>
      <c r="H453" s="435">
        <v>3</v>
      </c>
    </row>
    <row r="454" spans="3:8" x14ac:dyDescent="0.2">
      <c r="C454" s="157">
        <v>8</v>
      </c>
      <c r="D454" s="157">
        <v>1</v>
      </c>
      <c r="G454" s="435">
        <v>8</v>
      </c>
      <c r="H454" s="435">
        <v>3</v>
      </c>
    </row>
    <row r="455" spans="3:8" x14ac:dyDescent="0.2">
      <c r="C455" s="157">
        <v>18</v>
      </c>
      <c r="D455" s="157">
        <v>1</v>
      </c>
      <c r="G455" s="435">
        <v>6</v>
      </c>
      <c r="H455" s="435">
        <v>1</v>
      </c>
    </row>
    <row r="456" spans="3:8" x14ac:dyDescent="0.2">
      <c r="C456" s="157">
        <v>8</v>
      </c>
      <c r="D456" s="157">
        <v>1</v>
      </c>
      <c r="G456" s="435">
        <v>13</v>
      </c>
      <c r="H456" s="435">
        <v>3</v>
      </c>
    </row>
    <row r="457" spans="3:8" x14ac:dyDescent="0.2">
      <c r="C457" s="157">
        <v>8</v>
      </c>
      <c r="D457" s="157">
        <v>1</v>
      </c>
      <c r="G457" s="435">
        <v>6</v>
      </c>
      <c r="H457" s="435">
        <v>2</v>
      </c>
    </row>
    <row r="458" spans="3:8" x14ac:dyDescent="0.2">
      <c r="C458" s="157">
        <v>8</v>
      </c>
      <c r="D458" s="157">
        <v>1</v>
      </c>
      <c r="G458" s="435">
        <v>15</v>
      </c>
      <c r="H458" s="435">
        <v>4</v>
      </c>
    </row>
    <row r="459" spans="3:8" x14ac:dyDescent="0.2">
      <c r="C459" s="157">
        <v>11</v>
      </c>
      <c r="D459" s="157">
        <v>1</v>
      </c>
      <c r="G459" s="435">
        <v>12</v>
      </c>
      <c r="H459" s="435">
        <v>3</v>
      </c>
    </row>
    <row r="460" spans="3:8" x14ac:dyDescent="0.2">
      <c r="C460" s="157">
        <v>9</v>
      </c>
      <c r="D460" s="157">
        <v>1</v>
      </c>
      <c r="G460" s="435">
        <v>6</v>
      </c>
      <c r="H460" s="435">
        <v>1</v>
      </c>
    </row>
    <row r="461" spans="3:8" x14ac:dyDescent="0.2">
      <c r="C461" s="157">
        <v>13</v>
      </c>
      <c r="D461" s="157">
        <v>2</v>
      </c>
      <c r="G461" s="435">
        <v>8</v>
      </c>
      <c r="H461" s="435">
        <v>2</v>
      </c>
    </row>
    <row r="462" spans="3:8" x14ac:dyDescent="0.2">
      <c r="C462" s="157">
        <v>12</v>
      </c>
      <c r="D462" s="157">
        <v>1</v>
      </c>
      <c r="G462" s="435">
        <v>10</v>
      </c>
      <c r="H462" s="435">
        <v>2</v>
      </c>
    </row>
    <row r="463" spans="3:8" x14ac:dyDescent="0.2">
      <c r="C463" s="157">
        <v>14</v>
      </c>
      <c r="D463" s="157">
        <v>2</v>
      </c>
      <c r="G463" s="435">
        <v>14</v>
      </c>
      <c r="H463" s="435">
        <v>3</v>
      </c>
    </row>
    <row r="464" spans="3:8" x14ac:dyDescent="0.2">
      <c r="C464" s="157">
        <v>6</v>
      </c>
      <c r="D464" s="157">
        <v>1</v>
      </c>
      <c r="G464" s="435">
        <v>18</v>
      </c>
      <c r="H464" s="435">
        <v>4</v>
      </c>
    </row>
    <row r="465" spans="3:8" x14ac:dyDescent="0.2">
      <c r="C465" s="157">
        <v>6</v>
      </c>
      <c r="D465" s="157">
        <v>1</v>
      </c>
      <c r="G465" s="435">
        <v>13</v>
      </c>
      <c r="H465" s="435">
        <v>3</v>
      </c>
    </row>
    <row r="466" spans="3:8" x14ac:dyDescent="0.2">
      <c r="C466" s="157">
        <v>10</v>
      </c>
      <c r="D466" s="157">
        <v>1</v>
      </c>
      <c r="G466" s="435">
        <v>14</v>
      </c>
      <c r="H466" s="435">
        <v>4</v>
      </c>
    </row>
    <row r="467" spans="3:8" x14ac:dyDescent="0.2">
      <c r="C467" s="157">
        <v>7</v>
      </c>
      <c r="D467" s="157">
        <v>1</v>
      </c>
      <c r="G467" s="435">
        <v>15</v>
      </c>
      <c r="H467" s="435">
        <v>4</v>
      </c>
    </row>
    <row r="468" spans="3:8" x14ac:dyDescent="0.2">
      <c r="C468" s="157">
        <v>14</v>
      </c>
      <c r="D468" s="157">
        <v>2</v>
      </c>
      <c r="G468" s="435">
        <v>11</v>
      </c>
      <c r="H468" s="435">
        <v>3</v>
      </c>
    </row>
    <row r="469" spans="3:8" x14ac:dyDescent="0.2">
      <c r="C469" s="157">
        <v>8</v>
      </c>
      <c r="D469" s="157">
        <v>1</v>
      </c>
      <c r="G469" s="435">
        <v>12</v>
      </c>
      <c r="H469" s="435">
        <v>3</v>
      </c>
    </row>
    <row r="470" spans="3:8" x14ac:dyDescent="0.2">
      <c r="C470" s="157">
        <v>9</v>
      </c>
      <c r="D470" s="157">
        <v>1</v>
      </c>
      <c r="G470" s="435">
        <v>14</v>
      </c>
      <c r="H470" s="435">
        <v>4</v>
      </c>
    </row>
    <row r="471" spans="3:8" x14ac:dyDescent="0.2">
      <c r="C471" s="157">
        <v>12</v>
      </c>
      <c r="D471" s="157">
        <v>2</v>
      </c>
      <c r="G471" s="435">
        <v>16</v>
      </c>
      <c r="H471" s="435">
        <v>4</v>
      </c>
    </row>
    <row r="472" spans="3:8" x14ac:dyDescent="0.2">
      <c r="C472" s="157">
        <v>11</v>
      </c>
      <c r="D472" s="157">
        <v>1</v>
      </c>
      <c r="G472" s="435">
        <v>6</v>
      </c>
      <c r="H472" s="435">
        <v>1</v>
      </c>
    </row>
    <row r="473" spans="3:8" x14ac:dyDescent="0.2">
      <c r="C473" s="157">
        <v>7</v>
      </c>
      <c r="D473" s="157">
        <v>1</v>
      </c>
      <c r="G473" s="435">
        <v>6</v>
      </c>
      <c r="H473" s="435">
        <v>1</v>
      </c>
    </row>
    <row r="474" spans="3:8" x14ac:dyDescent="0.2">
      <c r="C474" s="157">
        <v>8</v>
      </c>
      <c r="D474" s="157">
        <v>1</v>
      </c>
      <c r="G474" s="435">
        <v>12</v>
      </c>
      <c r="H474" s="435">
        <v>3</v>
      </c>
    </row>
    <row r="475" spans="3:8" x14ac:dyDescent="0.2">
      <c r="C475" s="157">
        <v>8</v>
      </c>
      <c r="D475" s="157">
        <v>1</v>
      </c>
      <c r="G475" s="435">
        <v>7</v>
      </c>
      <c r="H475" s="435">
        <v>2</v>
      </c>
    </row>
    <row r="476" spans="3:8" x14ac:dyDescent="0.2">
      <c r="C476" s="157">
        <v>5</v>
      </c>
      <c r="D476" s="157">
        <v>1</v>
      </c>
      <c r="G476" s="435">
        <v>6</v>
      </c>
      <c r="H476" s="435">
        <v>2</v>
      </c>
    </row>
    <row r="477" spans="3:8" x14ac:dyDescent="0.2">
      <c r="C477" s="157">
        <v>8</v>
      </c>
      <c r="D477" s="157">
        <v>1</v>
      </c>
      <c r="G477" s="435">
        <v>10</v>
      </c>
      <c r="H477" s="435">
        <v>2</v>
      </c>
    </row>
    <row r="478" spans="3:8" x14ac:dyDescent="0.2">
      <c r="C478" s="157">
        <v>13</v>
      </c>
      <c r="D478" s="157">
        <v>2</v>
      </c>
      <c r="G478" s="435">
        <v>6</v>
      </c>
      <c r="H478" s="435">
        <v>1</v>
      </c>
    </row>
    <row r="479" spans="3:8" x14ac:dyDescent="0.2">
      <c r="C479" s="157">
        <v>8</v>
      </c>
      <c r="D479" s="157">
        <v>1</v>
      </c>
      <c r="G479" s="435">
        <v>10</v>
      </c>
      <c r="H479" s="435">
        <v>3</v>
      </c>
    </row>
    <row r="480" spans="3:8" x14ac:dyDescent="0.2">
      <c r="C480" s="157">
        <v>8</v>
      </c>
      <c r="D480" s="157">
        <v>1</v>
      </c>
      <c r="G480" s="435">
        <v>16</v>
      </c>
      <c r="H480" s="435">
        <v>5</v>
      </c>
    </row>
    <row r="481" spans="3:8" x14ac:dyDescent="0.2">
      <c r="C481" s="157">
        <v>7</v>
      </c>
      <c r="D481" s="157">
        <v>1</v>
      </c>
      <c r="G481" s="435">
        <v>10</v>
      </c>
      <c r="H481" s="435">
        <v>2</v>
      </c>
    </row>
    <row r="482" spans="3:8" x14ac:dyDescent="0.2">
      <c r="C482" s="157">
        <v>5</v>
      </c>
      <c r="D482" s="157">
        <v>1</v>
      </c>
      <c r="G482" s="435">
        <v>17</v>
      </c>
      <c r="H482" s="435">
        <v>5</v>
      </c>
    </row>
    <row r="483" spans="3:8" x14ac:dyDescent="0.2">
      <c r="C483" s="157">
        <v>8</v>
      </c>
      <c r="D483" s="157">
        <v>1</v>
      </c>
      <c r="G483" s="435">
        <v>12</v>
      </c>
      <c r="H483" s="435">
        <v>3</v>
      </c>
    </row>
    <row r="484" spans="3:8" x14ac:dyDescent="0.2">
      <c r="C484" s="157">
        <v>8</v>
      </c>
      <c r="D484" s="157">
        <v>1</v>
      </c>
      <c r="G484" s="435">
        <v>6</v>
      </c>
      <c r="H484" s="435">
        <v>1</v>
      </c>
    </row>
    <row r="485" spans="3:8" x14ac:dyDescent="0.2">
      <c r="C485" s="157">
        <v>8</v>
      </c>
      <c r="D485" s="157">
        <v>1</v>
      </c>
      <c r="G485" s="435">
        <v>6</v>
      </c>
      <c r="H485" s="435">
        <v>1</v>
      </c>
    </row>
    <row r="486" spans="3:8" x14ac:dyDescent="0.2">
      <c r="C486" s="157">
        <v>8</v>
      </c>
      <c r="D486" s="157">
        <v>1</v>
      </c>
      <c r="G486" s="435">
        <v>16</v>
      </c>
      <c r="H486" s="435">
        <v>4</v>
      </c>
    </row>
    <row r="487" spans="3:8" x14ac:dyDescent="0.2">
      <c r="C487" s="157">
        <v>8</v>
      </c>
      <c r="D487" s="157">
        <v>1</v>
      </c>
      <c r="G487" s="435">
        <v>8</v>
      </c>
      <c r="H487" s="435">
        <v>2</v>
      </c>
    </row>
    <row r="488" spans="3:8" x14ac:dyDescent="0.2">
      <c r="C488" s="157">
        <v>9</v>
      </c>
      <c r="D488" s="157">
        <v>1</v>
      </c>
      <c r="G488" s="435">
        <v>6</v>
      </c>
      <c r="H488" s="435">
        <v>1</v>
      </c>
    </row>
    <row r="489" spans="3:8" x14ac:dyDescent="0.2">
      <c r="C489" s="157">
        <v>8</v>
      </c>
      <c r="D489" s="157">
        <v>1</v>
      </c>
      <c r="G489" s="435">
        <v>7</v>
      </c>
      <c r="H489" s="435">
        <v>1</v>
      </c>
    </row>
    <row r="490" spans="3:8" x14ac:dyDescent="0.2">
      <c r="C490" s="157">
        <v>9</v>
      </c>
      <c r="D490" s="157">
        <v>1</v>
      </c>
      <c r="G490" s="435">
        <v>9</v>
      </c>
      <c r="H490" s="435">
        <v>2</v>
      </c>
    </row>
    <row r="491" spans="3:8" x14ac:dyDescent="0.2">
      <c r="C491" s="157">
        <v>6</v>
      </c>
      <c r="D491" s="157">
        <v>1</v>
      </c>
      <c r="G491" s="435">
        <v>10</v>
      </c>
      <c r="H491" s="435">
        <v>3</v>
      </c>
    </row>
    <row r="492" spans="3:8" x14ac:dyDescent="0.2">
      <c r="C492" s="157">
        <v>5</v>
      </c>
      <c r="D492" s="157">
        <v>1</v>
      </c>
      <c r="G492" s="435">
        <v>6</v>
      </c>
      <c r="H492" s="435">
        <v>1</v>
      </c>
    </row>
    <row r="493" spans="3:8" x14ac:dyDescent="0.2">
      <c r="C493" s="157">
        <v>8</v>
      </c>
      <c r="D493" s="157">
        <v>1</v>
      </c>
      <c r="G493" s="435">
        <v>10</v>
      </c>
      <c r="H493" s="435">
        <v>2</v>
      </c>
    </row>
    <row r="494" spans="3:8" x14ac:dyDescent="0.2">
      <c r="C494" s="157">
        <v>9</v>
      </c>
      <c r="D494" s="157">
        <v>1</v>
      </c>
      <c r="G494" s="435">
        <v>17</v>
      </c>
      <c r="H494" s="435">
        <v>4</v>
      </c>
    </row>
    <row r="495" spans="3:8" x14ac:dyDescent="0.2">
      <c r="C495" s="157">
        <v>13</v>
      </c>
      <c r="D495" s="157">
        <v>2</v>
      </c>
      <c r="G495" s="435">
        <v>14</v>
      </c>
      <c r="H495" s="435">
        <v>4</v>
      </c>
    </row>
    <row r="496" spans="3:8" x14ac:dyDescent="0.2">
      <c r="C496" s="157">
        <v>14</v>
      </c>
      <c r="D496" s="157">
        <v>2</v>
      </c>
      <c r="G496" s="435">
        <v>11</v>
      </c>
      <c r="H496" s="435">
        <v>2</v>
      </c>
    </row>
    <row r="497" spans="3:8" x14ac:dyDescent="0.2">
      <c r="C497" s="157">
        <v>7</v>
      </c>
      <c r="D497" s="157">
        <v>1</v>
      </c>
      <c r="G497" s="435">
        <v>9</v>
      </c>
      <c r="H497" s="435">
        <v>2</v>
      </c>
    </row>
    <row r="498" spans="3:8" x14ac:dyDescent="0.2">
      <c r="C498" s="157">
        <v>8</v>
      </c>
      <c r="D498" s="157">
        <v>1</v>
      </c>
      <c r="G498" s="435">
        <v>14</v>
      </c>
      <c r="H498" s="435">
        <v>4</v>
      </c>
    </row>
    <row r="499" spans="3:8" x14ac:dyDescent="0.2">
      <c r="C499" s="157">
        <v>8</v>
      </c>
      <c r="D499" s="157">
        <v>1</v>
      </c>
      <c r="G499" s="435">
        <v>11</v>
      </c>
      <c r="H499" s="435">
        <v>3</v>
      </c>
    </row>
    <row r="500" spans="3:8" x14ac:dyDescent="0.2">
      <c r="C500" s="157">
        <v>18</v>
      </c>
      <c r="D500" s="157">
        <v>2</v>
      </c>
      <c r="G500" s="435">
        <v>8</v>
      </c>
      <c r="H500" s="435">
        <v>2</v>
      </c>
    </row>
    <row r="501" spans="3:8" x14ac:dyDescent="0.2">
      <c r="C501" s="157">
        <v>7</v>
      </c>
      <c r="D501" s="157">
        <v>1</v>
      </c>
      <c r="G501" s="435">
        <v>11</v>
      </c>
      <c r="H501" s="435">
        <v>3</v>
      </c>
    </row>
    <row r="502" spans="3:8" x14ac:dyDescent="0.2">
      <c r="C502" s="157">
        <v>15</v>
      </c>
      <c r="D502" s="157">
        <v>2</v>
      </c>
      <c r="G502" s="435">
        <v>6</v>
      </c>
      <c r="H502" s="435">
        <v>1</v>
      </c>
    </row>
    <row r="503" spans="3:8" x14ac:dyDescent="0.2">
      <c r="C503" s="157">
        <v>12</v>
      </c>
      <c r="D503" s="157">
        <v>1</v>
      </c>
      <c r="G503" s="435">
        <v>7</v>
      </c>
      <c r="H503" s="435">
        <v>1</v>
      </c>
    </row>
    <row r="504" spans="3:8" x14ac:dyDescent="0.2">
      <c r="C504" s="157">
        <v>12</v>
      </c>
      <c r="D504" s="157">
        <v>2</v>
      </c>
      <c r="G504" s="435">
        <v>13</v>
      </c>
      <c r="H504" s="435">
        <v>3</v>
      </c>
    </row>
    <row r="505" spans="3:8" x14ac:dyDescent="0.2">
      <c r="C505" s="157">
        <v>13</v>
      </c>
      <c r="D505" s="157">
        <v>1</v>
      </c>
      <c r="G505" s="435">
        <v>13</v>
      </c>
      <c r="H505" s="435">
        <v>3</v>
      </c>
    </row>
    <row r="506" spans="3:8" x14ac:dyDescent="0.2">
      <c r="C506" s="157">
        <v>6</v>
      </c>
      <c r="D506" s="157">
        <v>1</v>
      </c>
      <c r="G506" s="435">
        <v>11</v>
      </c>
      <c r="H506" s="435">
        <v>3</v>
      </c>
    </row>
    <row r="507" spans="3:8" x14ac:dyDescent="0.2">
      <c r="C507" s="157">
        <v>7</v>
      </c>
      <c r="D507" s="157">
        <v>1</v>
      </c>
      <c r="G507" s="435">
        <v>10</v>
      </c>
      <c r="H507" s="435">
        <v>2</v>
      </c>
    </row>
    <row r="508" spans="3:8" x14ac:dyDescent="0.2">
      <c r="C508" s="157">
        <v>7</v>
      </c>
      <c r="D508" s="157">
        <v>1</v>
      </c>
      <c r="G508" s="435">
        <v>13</v>
      </c>
      <c r="H508" s="435">
        <v>3</v>
      </c>
    </row>
    <row r="509" spans="3:8" x14ac:dyDescent="0.2">
      <c r="C509" s="157">
        <v>9</v>
      </c>
      <c r="D509" s="157">
        <v>1</v>
      </c>
      <c r="G509" s="435">
        <v>11</v>
      </c>
      <c r="H509" s="435">
        <v>2</v>
      </c>
    </row>
    <row r="510" spans="3:8" x14ac:dyDescent="0.2">
      <c r="C510" s="157">
        <v>8</v>
      </c>
      <c r="D510" s="157">
        <v>1</v>
      </c>
      <c r="G510" s="435">
        <v>12</v>
      </c>
      <c r="H510" s="435">
        <v>3</v>
      </c>
    </row>
    <row r="511" spans="3:8" x14ac:dyDescent="0.2">
      <c r="C511" s="157">
        <v>17</v>
      </c>
      <c r="D511" s="157">
        <v>2</v>
      </c>
      <c r="G511" s="435">
        <v>10</v>
      </c>
      <c r="H511" s="435">
        <v>2</v>
      </c>
    </row>
    <row r="512" spans="3:8" x14ac:dyDescent="0.2">
      <c r="C512" s="157">
        <v>6</v>
      </c>
      <c r="D512" s="157">
        <v>1</v>
      </c>
      <c r="G512" s="435">
        <v>8</v>
      </c>
      <c r="H512" s="435">
        <v>2</v>
      </c>
    </row>
    <row r="513" spans="3:8" x14ac:dyDescent="0.2">
      <c r="C513" s="157">
        <v>13</v>
      </c>
      <c r="D513" s="157">
        <v>2</v>
      </c>
      <c r="G513" s="435">
        <v>10</v>
      </c>
      <c r="H513" s="435">
        <v>2</v>
      </c>
    </row>
    <row r="514" spans="3:8" x14ac:dyDescent="0.2">
      <c r="C514" s="157">
        <v>7</v>
      </c>
      <c r="D514" s="157">
        <v>1</v>
      </c>
      <c r="G514" s="435">
        <v>12</v>
      </c>
      <c r="H514" s="435">
        <v>3</v>
      </c>
    </row>
    <row r="515" spans="3:8" x14ac:dyDescent="0.2">
      <c r="C515" s="157">
        <v>7</v>
      </c>
      <c r="D515" s="157">
        <v>1</v>
      </c>
      <c r="G515" s="435">
        <v>11</v>
      </c>
      <c r="H515" s="435">
        <v>2</v>
      </c>
    </row>
    <row r="516" spans="3:8" x14ac:dyDescent="0.2">
      <c r="C516" s="157">
        <v>14</v>
      </c>
      <c r="D516" s="157">
        <v>2</v>
      </c>
      <c r="G516" s="435">
        <v>7</v>
      </c>
      <c r="H516" s="435">
        <v>1</v>
      </c>
    </row>
    <row r="517" spans="3:8" x14ac:dyDescent="0.2">
      <c r="C517" s="157">
        <v>11</v>
      </c>
      <c r="D517" s="157">
        <v>2</v>
      </c>
      <c r="G517" s="435">
        <v>13</v>
      </c>
      <c r="H517" s="435">
        <v>3</v>
      </c>
    </row>
    <row r="518" spans="3:8" x14ac:dyDescent="0.2">
      <c r="C518" s="157">
        <v>8</v>
      </c>
      <c r="D518" s="157">
        <v>1</v>
      </c>
      <c r="G518" s="435">
        <v>10</v>
      </c>
      <c r="H518" s="435">
        <v>3</v>
      </c>
    </row>
    <row r="519" spans="3:8" x14ac:dyDescent="0.2">
      <c r="C519" s="157">
        <v>15</v>
      </c>
      <c r="D519" s="157">
        <v>2</v>
      </c>
      <c r="G519" s="435">
        <v>9</v>
      </c>
      <c r="H519" s="435">
        <v>2</v>
      </c>
    </row>
    <row r="520" spans="3:8" x14ac:dyDescent="0.2">
      <c r="C520" s="157">
        <v>6</v>
      </c>
      <c r="D520" s="157">
        <v>1</v>
      </c>
      <c r="G520" s="435">
        <v>12</v>
      </c>
      <c r="H520" s="435">
        <v>3</v>
      </c>
    </row>
    <row r="521" spans="3:8" x14ac:dyDescent="0.2">
      <c r="C521" s="157">
        <v>15</v>
      </c>
      <c r="D521" s="157">
        <v>2</v>
      </c>
      <c r="G521" s="435">
        <v>11</v>
      </c>
      <c r="H521" s="435">
        <v>2</v>
      </c>
    </row>
    <row r="522" spans="3:8" x14ac:dyDescent="0.2">
      <c r="C522" s="157">
        <v>7</v>
      </c>
      <c r="D522" s="157">
        <v>1</v>
      </c>
      <c r="G522" s="435">
        <v>11</v>
      </c>
      <c r="H522" s="435">
        <v>2</v>
      </c>
    </row>
    <row r="523" spans="3:8" x14ac:dyDescent="0.2">
      <c r="C523" s="157">
        <v>9</v>
      </c>
      <c r="D523" s="157">
        <v>2</v>
      </c>
      <c r="G523" s="435">
        <v>12</v>
      </c>
      <c r="H523" s="435">
        <v>3</v>
      </c>
    </row>
    <row r="524" spans="3:8" x14ac:dyDescent="0.2">
      <c r="C524" s="157">
        <v>16</v>
      </c>
      <c r="D524" s="157">
        <v>3</v>
      </c>
      <c r="G524" s="435">
        <v>11</v>
      </c>
      <c r="H524" s="435">
        <v>3</v>
      </c>
    </row>
    <row r="525" spans="3:8" x14ac:dyDescent="0.2">
      <c r="C525" s="157">
        <v>8</v>
      </c>
      <c r="D525" s="157">
        <v>1</v>
      </c>
      <c r="G525" s="435">
        <v>9</v>
      </c>
      <c r="H525" s="435">
        <v>2</v>
      </c>
    </row>
    <row r="526" spans="3:8" x14ac:dyDescent="0.2">
      <c r="C526" s="157">
        <v>6</v>
      </c>
      <c r="D526" s="157">
        <v>1</v>
      </c>
      <c r="G526" s="435">
        <v>8</v>
      </c>
      <c r="H526" s="435">
        <v>1</v>
      </c>
    </row>
    <row r="527" spans="3:8" x14ac:dyDescent="0.2">
      <c r="C527" s="157">
        <v>7</v>
      </c>
      <c r="D527" s="157">
        <v>1</v>
      </c>
      <c r="G527" s="435">
        <v>8</v>
      </c>
      <c r="H527" s="435">
        <v>2</v>
      </c>
    </row>
    <row r="528" spans="3:8" x14ac:dyDescent="0.2">
      <c r="C528" s="157">
        <v>11</v>
      </c>
      <c r="D528" s="157">
        <v>2</v>
      </c>
      <c r="G528" s="435">
        <v>7</v>
      </c>
      <c r="H528" s="435">
        <v>1</v>
      </c>
    </row>
    <row r="529" spans="3:8" x14ac:dyDescent="0.2">
      <c r="C529" s="157">
        <v>9</v>
      </c>
      <c r="D529" s="157">
        <v>1</v>
      </c>
      <c r="G529" s="435">
        <v>12</v>
      </c>
      <c r="H529" s="435">
        <v>3</v>
      </c>
    </row>
    <row r="530" spans="3:8" x14ac:dyDescent="0.2">
      <c r="C530" s="157">
        <v>16</v>
      </c>
      <c r="D530" s="157">
        <v>2</v>
      </c>
      <c r="G530" s="435">
        <v>6</v>
      </c>
      <c r="H530" s="435">
        <v>1</v>
      </c>
    </row>
    <row r="531" spans="3:8" x14ac:dyDescent="0.2">
      <c r="C531" s="157">
        <v>18</v>
      </c>
      <c r="D531" s="157">
        <v>2</v>
      </c>
      <c r="G531" s="435">
        <v>5</v>
      </c>
      <c r="H531" s="435">
        <v>1</v>
      </c>
    </row>
    <row r="532" spans="3:8" x14ac:dyDescent="0.2">
      <c r="C532" s="157">
        <v>10</v>
      </c>
      <c r="D532" s="157">
        <v>2</v>
      </c>
      <c r="G532" s="435">
        <v>11</v>
      </c>
      <c r="H532" s="435">
        <v>3</v>
      </c>
    </row>
    <row r="533" spans="3:8" x14ac:dyDescent="0.2">
      <c r="C533" s="157">
        <v>9</v>
      </c>
      <c r="D533" s="157">
        <v>1</v>
      </c>
      <c r="G533" s="435">
        <v>12</v>
      </c>
      <c r="H533" s="435">
        <v>3</v>
      </c>
    </row>
    <row r="534" spans="3:8" x14ac:dyDescent="0.2">
      <c r="C534" s="157">
        <v>10</v>
      </c>
      <c r="D534" s="157">
        <v>1</v>
      </c>
      <c r="G534" s="435">
        <v>12</v>
      </c>
      <c r="H534" s="435">
        <v>4</v>
      </c>
    </row>
    <row r="535" spans="3:8" x14ac:dyDescent="0.2">
      <c r="C535" s="157">
        <v>12</v>
      </c>
      <c r="D535" s="157">
        <v>2</v>
      </c>
      <c r="G535" s="435">
        <v>5</v>
      </c>
      <c r="H535" s="435">
        <v>1</v>
      </c>
    </row>
    <row r="536" spans="3:8" x14ac:dyDescent="0.2">
      <c r="C536" s="157">
        <v>6</v>
      </c>
      <c r="D536" s="157">
        <v>1</v>
      </c>
      <c r="G536" s="435">
        <v>8</v>
      </c>
      <c r="H536" s="435">
        <v>2</v>
      </c>
    </row>
    <row r="537" spans="3:8" x14ac:dyDescent="0.2">
      <c r="G537" s="435">
        <v>13</v>
      </c>
      <c r="H537" s="435">
        <v>3</v>
      </c>
    </row>
    <row r="538" spans="3:8" x14ac:dyDescent="0.2">
      <c r="G538" s="435">
        <v>13</v>
      </c>
      <c r="H538" s="435">
        <v>4</v>
      </c>
    </row>
    <row r="539" spans="3:8" x14ac:dyDescent="0.2">
      <c r="G539" s="435">
        <v>12</v>
      </c>
      <c r="H539" s="435">
        <v>3</v>
      </c>
    </row>
    <row r="540" spans="3:8" x14ac:dyDescent="0.2">
      <c r="G540" s="435">
        <v>13</v>
      </c>
      <c r="H540" s="435">
        <v>3</v>
      </c>
    </row>
    <row r="541" spans="3:8" x14ac:dyDescent="0.2">
      <c r="G541" s="435">
        <v>12</v>
      </c>
      <c r="H541" s="435">
        <v>3</v>
      </c>
    </row>
    <row r="542" spans="3:8" x14ac:dyDescent="0.2">
      <c r="G542" s="435">
        <v>12</v>
      </c>
      <c r="H542" s="435">
        <v>3</v>
      </c>
    </row>
    <row r="543" spans="3:8" x14ac:dyDescent="0.2">
      <c r="G543" s="435">
        <v>7</v>
      </c>
      <c r="H543" s="435">
        <v>1</v>
      </c>
    </row>
    <row r="544" spans="3:8" x14ac:dyDescent="0.2">
      <c r="G544" s="435">
        <v>13</v>
      </c>
      <c r="H544" s="435">
        <v>3</v>
      </c>
    </row>
    <row r="545" spans="7:8" x14ac:dyDescent="0.2">
      <c r="G545" s="435">
        <v>7</v>
      </c>
      <c r="H545" s="435">
        <v>2</v>
      </c>
    </row>
    <row r="546" spans="7:8" x14ac:dyDescent="0.2">
      <c r="G546" s="435">
        <v>10</v>
      </c>
      <c r="H546" s="435">
        <v>2</v>
      </c>
    </row>
    <row r="547" spans="7:8" x14ac:dyDescent="0.2">
      <c r="G547" s="435">
        <v>6</v>
      </c>
      <c r="H547" s="435">
        <v>1</v>
      </c>
    </row>
    <row r="548" spans="7:8" x14ac:dyDescent="0.2">
      <c r="G548" s="435">
        <v>10</v>
      </c>
      <c r="H548" s="435">
        <v>2</v>
      </c>
    </row>
    <row r="549" spans="7:8" x14ac:dyDescent="0.2">
      <c r="G549" s="435">
        <v>7</v>
      </c>
      <c r="H549" s="435">
        <v>1</v>
      </c>
    </row>
    <row r="550" spans="7:8" x14ac:dyDescent="0.2">
      <c r="G550" s="435">
        <v>14</v>
      </c>
      <c r="H550" s="435">
        <v>3</v>
      </c>
    </row>
    <row r="551" spans="7:8" x14ac:dyDescent="0.2">
      <c r="G551" s="435">
        <v>10</v>
      </c>
      <c r="H551" s="435">
        <v>2</v>
      </c>
    </row>
    <row r="552" spans="7:8" x14ac:dyDescent="0.2">
      <c r="G552" s="435">
        <v>17</v>
      </c>
      <c r="H552" s="435">
        <v>3</v>
      </c>
    </row>
    <row r="553" spans="7:8" x14ac:dyDescent="0.2">
      <c r="G553" s="435">
        <v>15</v>
      </c>
      <c r="H553" s="435">
        <v>2</v>
      </c>
    </row>
    <row r="554" spans="7:8" x14ac:dyDescent="0.2">
      <c r="G554" s="435">
        <v>10</v>
      </c>
      <c r="H554" s="435">
        <v>2</v>
      </c>
    </row>
    <row r="555" spans="7:8" x14ac:dyDescent="0.2">
      <c r="G555" s="435">
        <v>10</v>
      </c>
      <c r="H555" s="435">
        <v>2</v>
      </c>
    </row>
    <row r="556" spans="7:8" x14ac:dyDescent="0.2">
      <c r="G556" s="435">
        <v>6</v>
      </c>
      <c r="H556" s="435">
        <v>1</v>
      </c>
    </row>
    <row r="557" spans="7:8" x14ac:dyDescent="0.2">
      <c r="G557" s="435">
        <v>8</v>
      </c>
      <c r="H557" s="435">
        <v>3</v>
      </c>
    </row>
    <row r="558" spans="7:8" x14ac:dyDescent="0.2">
      <c r="G558" s="435">
        <v>13</v>
      </c>
      <c r="H558" s="435">
        <v>4</v>
      </c>
    </row>
    <row r="559" spans="7:8" x14ac:dyDescent="0.2">
      <c r="G559" s="435">
        <v>7</v>
      </c>
      <c r="H559" s="435">
        <v>2</v>
      </c>
    </row>
    <row r="560" spans="7:8" x14ac:dyDescent="0.2">
      <c r="G560" s="435">
        <v>15</v>
      </c>
      <c r="H560" s="435">
        <v>2</v>
      </c>
    </row>
    <row r="561" spans="7:8" x14ac:dyDescent="0.2">
      <c r="G561" s="435">
        <v>8</v>
      </c>
      <c r="H561" s="435">
        <v>3</v>
      </c>
    </row>
    <row r="562" spans="7:8" x14ac:dyDescent="0.2">
      <c r="G562" s="435">
        <v>8</v>
      </c>
      <c r="H562" s="435">
        <v>2</v>
      </c>
    </row>
    <row r="563" spans="7:8" x14ac:dyDescent="0.2">
      <c r="G563" s="435">
        <v>11</v>
      </c>
      <c r="H563" s="435">
        <v>3</v>
      </c>
    </row>
    <row r="564" spans="7:8" x14ac:dyDescent="0.2">
      <c r="G564" s="435">
        <v>9</v>
      </c>
      <c r="H564" s="435">
        <v>2</v>
      </c>
    </row>
    <row r="565" spans="7:8" x14ac:dyDescent="0.2">
      <c r="G565" s="435">
        <v>14</v>
      </c>
      <c r="H565" s="435">
        <v>3</v>
      </c>
    </row>
    <row r="566" spans="7:8" x14ac:dyDescent="0.2">
      <c r="G566" s="435">
        <v>5</v>
      </c>
      <c r="H566" s="435">
        <v>1</v>
      </c>
    </row>
    <row r="567" spans="7:8" x14ac:dyDescent="0.2">
      <c r="G567" s="435">
        <v>5</v>
      </c>
      <c r="H567" s="435">
        <v>1</v>
      </c>
    </row>
    <row r="568" spans="7:8" x14ac:dyDescent="0.2">
      <c r="G568" s="435">
        <v>11</v>
      </c>
      <c r="H568" s="435">
        <v>2</v>
      </c>
    </row>
    <row r="569" spans="7:8" x14ac:dyDescent="0.2">
      <c r="G569" s="435">
        <v>6</v>
      </c>
      <c r="H569" s="435">
        <v>1</v>
      </c>
    </row>
    <row r="570" spans="7:8" x14ac:dyDescent="0.2">
      <c r="G570" s="435">
        <v>11</v>
      </c>
      <c r="H570" s="435">
        <v>3</v>
      </c>
    </row>
    <row r="571" spans="7:8" x14ac:dyDescent="0.2">
      <c r="G571" s="435">
        <v>13</v>
      </c>
      <c r="H571" s="435">
        <v>3</v>
      </c>
    </row>
    <row r="572" spans="7:8" x14ac:dyDescent="0.2">
      <c r="G572" s="435">
        <v>11</v>
      </c>
      <c r="H572" s="435">
        <v>3</v>
      </c>
    </row>
    <row r="573" spans="7:8" x14ac:dyDescent="0.2">
      <c r="G573" s="435">
        <v>7</v>
      </c>
      <c r="H573" s="435">
        <v>1</v>
      </c>
    </row>
    <row r="574" spans="7:8" x14ac:dyDescent="0.2">
      <c r="G574" s="435">
        <v>8</v>
      </c>
      <c r="H574" s="435">
        <v>2</v>
      </c>
    </row>
    <row r="575" spans="7:8" x14ac:dyDescent="0.2">
      <c r="G575" s="435">
        <v>7</v>
      </c>
      <c r="H575" s="435">
        <v>2</v>
      </c>
    </row>
    <row r="576" spans="7:8" x14ac:dyDescent="0.2">
      <c r="G576" s="435">
        <v>5</v>
      </c>
      <c r="H576" s="435">
        <v>1</v>
      </c>
    </row>
    <row r="577" spans="7:8" x14ac:dyDescent="0.2">
      <c r="G577" s="435">
        <v>13</v>
      </c>
      <c r="H577" s="435">
        <v>4</v>
      </c>
    </row>
    <row r="578" spans="7:8" x14ac:dyDescent="0.2">
      <c r="G578" s="435">
        <v>5</v>
      </c>
      <c r="H578" s="435">
        <v>1</v>
      </c>
    </row>
    <row r="579" spans="7:8" x14ac:dyDescent="0.2">
      <c r="G579" s="435">
        <v>9</v>
      </c>
      <c r="H579" s="435">
        <v>2</v>
      </c>
    </row>
    <row r="580" spans="7:8" x14ac:dyDescent="0.2">
      <c r="G580" s="435">
        <v>8</v>
      </c>
      <c r="H580" s="435">
        <v>1</v>
      </c>
    </row>
    <row r="581" spans="7:8" x14ac:dyDescent="0.2">
      <c r="G581" s="435">
        <v>10</v>
      </c>
      <c r="H581" s="435">
        <v>2</v>
      </c>
    </row>
    <row r="582" spans="7:8" x14ac:dyDescent="0.2">
      <c r="G582" s="435">
        <v>10</v>
      </c>
      <c r="H582" s="435">
        <v>3</v>
      </c>
    </row>
    <row r="583" spans="7:8" x14ac:dyDescent="0.2">
      <c r="G583" s="435">
        <v>10</v>
      </c>
      <c r="H583" s="435">
        <v>2</v>
      </c>
    </row>
    <row r="584" spans="7:8" x14ac:dyDescent="0.2">
      <c r="G584" s="435">
        <v>13</v>
      </c>
      <c r="H584" s="435">
        <v>3</v>
      </c>
    </row>
    <row r="585" spans="7:8" x14ac:dyDescent="0.2">
      <c r="G585" s="435">
        <v>15</v>
      </c>
      <c r="H585" s="435">
        <v>4</v>
      </c>
    </row>
    <row r="586" spans="7:8" x14ac:dyDescent="0.2">
      <c r="G586" s="435">
        <v>15</v>
      </c>
      <c r="H586" s="435">
        <v>4</v>
      </c>
    </row>
    <row r="587" spans="7:8" x14ac:dyDescent="0.2">
      <c r="G587" s="435">
        <v>14</v>
      </c>
      <c r="H587" s="435">
        <v>3</v>
      </c>
    </row>
    <row r="588" spans="7:8" x14ac:dyDescent="0.2">
      <c r="G588" s="435">
        <v>12</v>
      </c>
      <c r="H588" s="435">
        <v>3</v>
      </c>
    </row>
    <row r="589" spans="7:8" x14ac:dyDescent="0.2">
      <c r="G589" s="435">
        <v>11</v>
      </c>
      <c r="H589" s="435">
        <v>3</v>
      </c>
    </row>
    <row r="590" spans="7:8" x14ac:dyDescent="0.2">
      <c r="G590" s="435">
        <v>5</v>
      </c>
      <c r="H590" s="435">
        <v>1</v>
      </c>
    </row>
    <row r="591" spans="7:8" x14ac:dyDescent="0.2">
      <c r="G591" s="435">
        <v>5</v>
      </c>
      <c r="H591" s="435">
        <v>1</v>
      </c>
    </row>
    <row r="592" spans="7:8" x14ac:dyDescent="0.2">
      <c r="G592" s="435">
        <v>11</v>
      </c>
      <c r="H592" s="435">
        <v>3</v>
      </c>
    </row>
    <row r="593" spans="7:8" x14ac:dyDescent="0.2">
      <c r="G593" s="435">
        <v>13</v>
      </c>
      <c r="H593" s="435">
        <v>4</v>
      </c>
    </row>
    <row r="594" spans="7:8" x14ac:dyDescent="0.2">
      <c r="G594" s="435">
        <v>14</v>
      </c>
      <c r="H594" s="435">
        <v>4</v>
      </c>
    </row>
    <row r="595" spans="7:8" x14ac:dyDescent="0.2">
      <c r="G595" s="435">
        <v>12</v>
      </c>
      <c r="H595" s="435">
        <v>3</v>
      </c>
    </row>
    <row r="596" spans="7:8" x14ac:dyDescent="0.2">
      <c r="G596" s="435">
        <v>9</v>
      </c>
      <c r="H596" s="435">
        <v>2</v>
      </c>
    </row>
    <row r="597" spans="7:8" x14ac:dyDescent="0.2">
      <c r="G597" s="435">
        <v>17</v>
      </c>
      <c r="H597" s="435">
        <v>4</v>
      </c>
    </row>
    <row r="598" spans="7:8" x14ac:dyDescent="0.2">
      <c r="G598" s="435">
        <v>14</v>
      </c>
      <c r="H598" s="435">
        <v>3</v>
      </c>
    </row>
    <row r="599" spans="7:8" x14ac:dyDescent="0.2">
      <c r="G599" s="435">
        <v>17</v>
      </c>
      <c r="H599" s="435">
        <v>4</v>
      </c>
    </row>
    <row r="600" spans="7:8" x14ac:dyDescent="0.2">
      <c r="G600" s="435">
        <v>7</v>
      </c>
      <c r="H600" s="435">
        <v>2</v>
      </c>
    </row>
    <row r="601" spans="7:8" x14ac:dyDescent="0.2">
      <c r="G601" s="435">
        <v>8</v>
      </c>
      <c r="H601" s="435">
        <v>2</v>
      </c>
    </row>
    <row r="602" spans="7:8" x14ac:dyDescent="0.2">
      <c r="G602" s="435">
        <v>5</v>
      </c>
      <c r="H602" s="435">
        <v>1</v>
      </c>
    </row>
    <row r="603" spans="7:8" x14ac:dyDescent="0.2">
      <c r="G603" s="435">
        <v>6</v>
      </c>
      <c r="H603" s="435">
        <v>1</v>
      </c>
    </row>
    <row r="604" spans="7:8" x14ac:dyDescent="0.2">
      <c r="G604" s="435">
        <v>5</v>
      </c>
      <c r="H604" s="435">
        <v>1</v>
      </c>
    </row>
    <row r="605" spans="7:8" x14ac:dyDescent="0.2">
      <c r="G605" s="435">
        <v>5</v>
      </c>
      <c r="H605" s="435">
        <v>1</v>
      </c>
    </row>
    <row r="606" spans="7:8" x14ac:dyDescent="0.2">
      <c r="G606" s="435">
        <v>9</v>
      </c>
      <c r="H606" s="435">
        <v>3</v>
      </c>
    </row>
    <row r="607" spans="7:8" x14ac:dyDescent="0.2">
      <c r="G607" s="435">
        <v>10</v>
      </c>
      <c r="H607" s="435">
        <v>2</v>
      </c>
    </row>
    <row r="608" spans="7:8" x14ac:dyDescent="0.2">
      <c r="G608" s="435">
        <v>7</v>
      </c>
      <c r="H608" s="435">
        <v>1</v>
      </c>
    </row>
    <row r="609" spans="7:8" x14ac:dyDescent="0.2">
      <c r="G609" s="435">
        <v>16</v>
      </c>
      <c r="H609" s="435">
        <v>5</v>
      </c>
    </row>
    <row r="610" spans="7:8" x14ac:dyDescent="0.2">
      <c r="G610" s="435">
        <v>8</v>
      </c>
      <c r="H610" s="435">
        <v>3</v>
      </c>
    </row>
    <row r="611" spans="7:8" x14ac:dyDescent="0.2">
      <c r="G611" s="435">
        <v>7</v>
      </c>
      <c r="H611" s="435">
        <v>1</v>
      </c>
    </row>
    <row r="612" spans="7:8" x14ac:dyDescent="0.2">
      <c r="G612" s="435">
        <v>17</v>
      </c>
      <c r="H612" s="435">
        <v>4</v>
      </c>
    </row>
    <row r="613" spans="7:8" x14ac:dyDescent="0.2">
      <c r="G613" s="435">
        <v>8</v>
      </c>
      <c r="H613" s="435">
        <v>2</v>
      </c>
    </row>
    <row r="614" spans="7:8" x14ac:dyDescent="0.2">
      <c r="G614" s="435">
        <v>13</v>
      </c>
      <c r="H614" s="435">
        <v>3</v>
      </c>
    </row>
    <row r="615" spans="7:8" x14ac:dyDescent="0.2">
      <c r="G615" s="435">
        <v>12</v>
      </c>
      <c r="H615" s="435">
        <v>3</v>
      </c>
    </row>
    <row r="616" spans="7:8" x14ac:dyDescent="0.2">
      <c r="G616" s="435">
        <v>12</v>
      </c>
      <c r="H616" s="435">
        <v>3</v>
      </c>
    </row>
    <row r="617" spans="7:8" x14ac:dyDescent="0.2">
      <c r="G617" s="435">
        <v>17</v>
      </c>
      <c r="H617" s="435">
        <v>4</v>
      </c>
    </row>
    <row r="618" spans="7:8" x14ac:dyDescent="0.2">
      <c r="G618" s="435">
        <v>12</v>
      </c>
      <c r="H618" s="435">
        <v>3</v>
      </c>
    </row>
    <row r="619" spans="7:8" x14ac:dyDescent="0.2">
      <c r="G619" s="435">
        <v>13</v>
      </c>
      <c r="H619" s="435">
        <v>4</v>
      </c>
    </row>
    <row r="620" spans="7:8" x14ac:dyDescent="0.2">
      <c r="G620" s="435">
        <v>14</v>
      </c>
      <c r="H620" s="435">
        <v>4</v>
      </c>
    </row>
    <row r="621" spans="7:8" x14ac:dyDescent="0.2">
      <c r="G621" s="435">
        <v>13</v>
      </c>
      <c r="H621" s="435">
        <v>4</v>
      </c>
    </row>
    <row r="622" spans="7:8" x14ac:dyDescent="0.2">
      <c r="G622" s="435">
        <v>6</v>
      </c>
      <c r="H622" s="435">
        <v>1</v>
      </c>
    </row>
    <row r="623" spans="7:8" x14ac:dyDescent="0.2">
      <c r="G623" s="435">
        <v>13</v>
      </c>
      <c r="H623" s="435">
        <v>4</v>
      </c>
    </row>
    <row r="624" spans="7:8" x14ac:dyDescent="0.2">
      <c r="G624" s="435">
        <v>6</v>
      </c>
      <c r="H624" s="435">
        <v>1</v>
      </c>
    </row>
    <row r="625" spans="7:8" x14ac:dyDescent="0.2">
      <c r="G625" s="435">
        <v>6</v>
      </c>
      <c r="H625" s="435">
        <v>1</v>
      </c>
    </row>
    <row r="626" spans="7:8" x14ac:dyDescent="0.2">
      <c r="G626" s="435">
        <v>8</v>
      </c>
      <c r="H626" s="435">
        <v>2</v>
      </c>
    </row>
    <row r="627" spans="7:8" x14ac:dyDescent="0.2">
      <c r="G627" s="435">
        <v>7</v>
      </c>
      <c r="H627" s="435">
        <v>2</v>
      </c>
    </row>
    <row r="628" spans="7:8" x14ac:dyDescent="0.2">
      <c r="G628" s="435">
        <v>13</v>
      </c>
      <c r="H628" s="435">
        <v>4</v>
      </c>
    </row>
    <row r="629" spans="7:8" x14ac:dyDescent="0.2">
      <c r="G629" s="435">
        <v>10</v>
      </c>
      <c r="H629" s="435">
        <v>2</v>
      </c>
    </row>
    <row r="630" spans="7:8" x14ac:dyDescent="0.2">
      <c r="G630" s="435">
        <v>12</v>
      </c>
      <c r="H630" s="435">
        <v>3</v>
      </c>
    </row>
    <row r="631" spans="7:8" x14ac:dyDescent="0.2">
      <c r="G631" s="157">
        <v>9</v>
      </c>
      <c r="H631" s="157">
        <v>2</v>
      </c>
    </row>
    <row r="632" spans="7:8" x14ac:dyDescent="0.2">
      <c r="G632" s="157">
        <v>19</v>
      </c>
      <c r="H632" s="157">
        <v>3</v>
      </c>
    </row>
    <row r="633" spans="7:8" x14ac:dyDescent="0.2">
      <c r="G633" s="157">
        <v>15</v>
      </c>
      <c r="H633" s="157">
        <v>3</v>
      </c>
    </row>
    <row r="634" spans="7:8" x14ac:dyDescent="0.2">
      <c r="G634" s="157">
        <v>13</v>
      </c>
      <c r="H634" s="157">
        <v>3</v>
      </c>
    </row>
    <row r="635" spans="7:8" x14ac:dyDescent="0.2">
      <c r="G635" s="157">
        <v>8</v>
      </c>
      <c r="H635" s="157">
        <v>2</v>
      </c>
    </row>
    <row r="636" spans="7:8" x14ac:dyDescent="0.2">
      <c r="G636" s="157">
        <v>15</v>
      </c>
      <c r="H636" s="157">
        <v>3</v>
      </c>
    </row>
    <row r="637" spans="7:8" x14ac:dyDescent="0.2">
      <c r="G637" s="157">
        <v>13</v>
      </c>
      <c r="H637" s="157">
        <v>3</v>
      </c>
    </row>
    <row r="638" spans="7:8" x14ac:dyDescent="0.2">
      <c r="G638" s="157">
        <v>12</v>
      </c>
      <c r="H638" s="157">
        <v>4</v>
      </c>
    </row>
    <row r="639" spans="7:8" x14ac:dyDescent="0.2">
      <c r="G639" s="157">
        <v>14</v>
      </c>
      <c r="H639" s="157">
        <v>2</v>
      </c>
    </row>
    <row r="640" spans="7:8" x14ac:dyDescent="0.2">
      <c r="G640" s="157">
        <v>18</v>
      </c>
      <c r="H640" s="157">
        <v>3</v>
      </c>
    </row>
    <row r="641" spans="7:8" x14ac:dyDescent="0.2">
      <c r="G641" s="157">
        <v>15</v>
      </c>
      <c r="H641" s="157">
        <v>4</v>
      </c>
    </row>
    <row r="642" spans="7:8" x14ac:dyDescent="0.2">
      <c r="G642" s="157">
        <v>15</v>
      </c>
      <c r="H642" s="157">
        <v>3</v>
      </c>
    </row>
    <row r="643" spans="7:8" x14ac:dyDescent="0.2">
      <c r="G643" s="157">
        <v>16</v>
      </c>
      <c r="H643" s="157">
        <v>4</v>
      </c>
    </row>
    <row r="644" spans="7:8" x14ac:dyDescent="0.2">
      <c r="G644" s="157">
        <v>7</v>
      </c>
      <c r="H644" s="157">
        <v>1</v>
      </c>
    </row>
    <row r="645" spans="7:8" x14ac:dyDescent="0.2">
      <c r="G645" s="157">
        <v>12</v>
      </c>
      <c r="H645" s="157">
        <v>3</v>
      </c>
    </row>
    <row r="646" spans="7:8" x14ac:dyDescent="0.2">
      <c r="G646" s="157">
        <v>7</v>
      </c>
      <c r="H646" s="157">
        <v>2</v>
      </c>
    </row>
    <row r="647" spans="7:8" x14ac:dyDescent="0.2">
      <c r="G647" s="157">
        <v>10</v>
      </c>
      <c r="H647" s="157">
        <v>3</v>
      </c>
    </row>
    <row r="648" spans="7:8" x14ac:dyDescent="0.2">
      <c r="G648" s="157">
        <v>18</v>
      </c>
      <c r="H648" s="157">
        <v>4</v>
      </c>
    </row>
    <row r="649" spans="7:8" x14ac:dyDescent="0.2">
      <c r="G649" s="157">
        <v>13</v>
      </c>
      <c r="H649" s="157">
        <v>4</v>
      </c>
    </row>
    <row r="650" spans="7:8" x14ac:dyDescent="0.2">
      <c r="G650" s="157">
        <v>6</v>
      </c>
      <c r="H650" s="157">
        <v>1</v>
      </c>
    </row>
    <row r="651" spans="7:8" x14ac:dyDescent="0.2">
      <c r="G651" s="157">
        <v>6</v>
      </c>
      <c r="H651" s="157">
        <v>1</v>
      </c>
    </row>
    <row r="652" spans="7:8" x14ac:dyDescent="0.2">
      <c r="G652" s="157">
        <v>8</v>
      </c>
      <c r="H652" s="157">
        <v>2</v>
      </c>
    </row>
    <row r="653" spans="7:8" x14ac:dyDescent="0.2">
      <c r="G653" s="157">
        <v>7</v>
      </c>
      <c r="H653" s="157">
        <v>3</v>
      </c>
    </row>
    <row r="654" spans="7:8" x14ac:dyDescent="0.2">
      <c r="G654" s="157">
        <v>6</v>
      </c>
      <c r="H654" s="157">
        <v>1</v>
      </c>
    </row>
    <row r="655" spans="7:8" x14ac:dyDescent="0.2">
      <c r="G655" s="157">
        <v>14</v>
      </c>
      <c r="H655" s="157">
        <v>3</v>
      </c>
    </row>
    <row r="656" spans="7:8" x14ac:dyDescent="0.2">
      <c r="G656" s="157">
        <v>7</v>
      </c>
      <c r="H656" s="157">
        <v>1</v>
      </c>
    </row>
    <row r="657" spans="7:8" x14ac:dyDescent="0.2">
      <c r="G657" s="157">
        <v>9</v>
      </c>
      <c r="H657" s="157">
        <v>2</v>
      </c>
    </row>
    <row r="658" spans="7:8" x14ac:dyDescent="0.2">
      <c r="G658" s="157">
        <v>6</v>
      </c>
      <c r="H658" s="157">
        <v>1</v>
      </c>
    </row>
    <row r="659" spans="7:8" x14ac:dyDescent="0.2">
      <c r="G659" s="157">
        <v>5</v>
      </c>
      <c r="H659" s="157">
        <v>1</v>
      </c>
    </row>
    <row r="660" spans="7:8" x14ac:dyDescent="0.2">
      <c r="G660" s="157">
        <v>14</v>
      </c>
      <c r="H660" s="157">
        <v>4</v>
      </c>
    </row>
    <row r="661" spans="7:8" x14ac:dyDescent="0.2">
      <c r="G661" s="157">
        <v>8</v>
      </c>
      <c r="H661" s="157">
        <v>1</v>
      </c>
    </row>
    <row r="662" spans="7:8" x14ac:dyDescent="0.2">
      <c r="G662" s="157">
        <v>12</v>
      </c>
      <c r="H662" s="157">
        <v>4</v>
      </c>
    </row>
    <row r="663" spans="7:8" x14ac:dyDescent="0.2">
      <c r="G663" s="157">
        <v>13</v>
      </c>
      <c r="H663" s="157">
        <v>4</v>
      </c>
    </row>
    <row r="664" spans="7:8" x14ac:dyDescent="0.2">
      <c r="G664" s="157">
        <v>11</v>
      </c>
      <c r="H664" s="157">
        <v>3</v>
      </c>
    </row>
    <row r="665" spans="7:8" x14ac:dyDescent="0.2">
      <c r="G665" s="157">
        <v>10</v>
      </c>
      <c r="H665" s="157">
        <v>2</v>
      </c>
    </row>
    <row r="666" spans="7:8" x14ac:dyDescent="0.2">
      <c r="G666" s="157">
        <v>11</v>
      </c>
      <c r="H666" s="157">
        <v>4</v>
      </c>
    </row>
    <row r="667" spans="7:8" x14ac:dyDescent="0.2">
      <c r="G667" s="157">
        <v>10</v>
      </c>
      <c r="H667" s="157">
        <v>4</v>
      </c>
    </row>
    <row r="668" spans="7:8" x14ac:dyDescent="0.2">
      <c r="G668" s="157">
        <v>8</v>
      </c>
      <c r="H668" s="157">
        <v>1</v>
      </c>
    </row>
    <row r="669" spans="7:8" x14ac:dyDescent="0.2">
      <c r="G669" s="157">
        <v>12</v>
      </c>
      <c r="H669" s="157">
        <v>3</v>
      </c>
    </row>
    <row r="670" spans="7:8" x14ac:dyDescent="0.2">
      <c r="G670" s="157">
        <v>5</v>
      </c>
      <c r="H670" s="157">
        <v>1</v>
      </c>
    </row>
    <row r="671" spans="7:8" x14ac:dyDescent="0.2">
      <c r="G671" s="157">
        <v>10</v>
      </c>
      <c r="H671" s="157">
        <v>3</v>
      </c>
    </row>
    <row r="672" spans="7:8" x14ac:dyDescent="0.2">
      <c r="G672" s="157">
        <v>6</v>
      </c>
      <c r="H672" s="157">
        <v>1</v>
      </c>
    </row>
    <row r="673" spans="7:8" x14ac:dyDescent="0.2">
      <c r="G673" s="157">
        <v>13</v>
      </c>
      <c r="H673" s="157">
        <v>3</v>
      </c>
    </row>
    <row r="674" spans="7:8" x14ac:dyDescent="0.2">
      <c r="G674" s="157">
        <v>7</v>
      </c>
      <c r="H674" s="157">
        <v>1</v>
      </c>
    </row>
    <row r="675" spans="7:8" x14ac:dyDescent="0.2">
      <c r="G675" s="157">
        <v>8</v>
      </c>
      <c r="H675" s="157">
        <v>2</v>
      </c>
    </row>
    <row r="676" spans="7:8" x14ac:dyDescent="0.2">
      <c r="G676" s="157">
        <v>8</v>
      </c>
      <c r="H676" s="157">
        <v>2</v>
      </c>
    </row>
    <row r="677" spans="7:8" x14ac:dyDescent="0.2">
      <c r="G677" s="157">
        <v>10</v>
      </c>
      <c r="H677" s="157">
        <v>2</v>
      </c>
    </row>
    <row r="678" spans="7:8" x14ac:dyDescent="0.2">
      <c r="G678" s="157">
        <v>8</v>
      </c>
      <c r="H678" s="157">
        <v>2</v>
      </c>
    </row>
    <row r="679" spans="7:8" x14ac:dyDescent="0.2">
      <c r="G679" s="157">
        <v>8</v>
      </c>
      <c r="H679" s="157">
        <v>2</v>
      </c>
    </row>
    <row r="680" spans="7:8" x14ac:dyDescent="0.2">
      <c r="G680" s="157">
        <v>9</v>
      </c>
      <c r="H680" s="157">
        <v>2</v>
      </c>
    </row>
    <row r="681" spans="7:8" x14ac:dyDescent="0.2">
      <c r="G681" s="157">
        <v>8</v>
      </c>
      <c r="H681" s="157">
        <v>2</v>
      </c>
    </row>
    <row r="682" spans="7:8" x14ac:dyDescent="0.2">
      <c r="G682" s="157">
        <v>8</v>
      </c>
      <c r="H682" s="157">
        <v>1</v>
      </c>
    </row>
    <row r="683" spans="7:8" x14ac:dyDescent="0.2">
      <c r="G683" s="157">
        <v>12</v>
      </c>
      <c r="H683" s="157">
        <v>3</v>
      </c>
    </row>
    <row r="684" spans="7:8" x14ac:dyDescent="0.2">
      <c r="G684" s="157">
        <v>6</v>
      </c>
      <c r="H684" s="157">
        <v>1</v>
      </c>
    </row>
    <row r="685" spans="7:8" x14ac:dyDescent="0.2">
      <c r="G685" s="157">
        <v>10</v>
      </c>
      <c r="H685" s="157">
        <v>3</v>
      </c>
    </row>
    <row r="686" spans="7:8" x14ac:dyDescent="0.2">
      <c r="G686" s="157">
        <v>11</v>
      </c>
      <c r="H686" s="157">
        <v>2</v>
      </c>
    </row>
    <row r="687" spans="7:8" x14ac:dyDescent="0.2">
      <c r="G687" s="157">
        <v>17</v>
      </c>
      <c r="H687" s="157">
        <v>1</v>
      </c>
    </row>
    <row r="688" spans="7:8" x14ac:dyDescent="0.2">
      <c r="G688" s="157">
        <v>9</v>
      </c>
      <c r="H688" s="157">
        <v>2</v>
      </c>
    </row>
    <row r="689" spans="7:8" x14ac:dyDescent="0.2">
      <c r="G689" s="157">
        <v>8</v>
      </c>
      <c r="H689" s="157">
        <v>2</v>
      </c>
    </row>
    <row r="690" spans="7:8" x14ac:dyDescent="0.2">
      <c r="G690" s="157">
        <v>12</v>
      </c>
      <c r="H690" s="157">
        <v>4</v>
      </c>
    </row>
    <row r="691" spans="7:8" x14ac:dyDescent="0.2">
      <c r="G691" s="157">
        <v>10</v>
      </c>
      <c r="H691" s="157">
        <v>3</v>
      </c>
    </row>
    <row r="692" spans="7:8" x14ac:dyDescent="0.2">
      <c r="G692" s="157">
        <v>6</v>
      </c>
      <c r="H692" s="157">
        <v>1</v>
      </c>
    </row>
    <row r="693" spans="7:8" x14ac:dyDescent="0.2">
      <c r="G693" s="157">
        <v>12</v>
      </c>
      <c r="H693" s="157">
        <v>1</v>
      </c>
    </row>
    <row r="694" spans="7:8" x14ac:dyDescent="0.2">
      <c r="G694" s="157">
        <v>7</v>
      </c>
      <c r="H694" s="157">
        <v>1</v>
      </c>
    </row>
    <row r="695" spans="7:8" x14ac:dyDescent="0.2">
      <c r="G695" s="157">
        <v>12</v>
      </c>
      <c r="H695" s="157">
        <v>2</v>
      </c>
    </row>
    <row r="696" spans="7:8" x14ac:dyDescent="0.2">
      <c r="G696" s="157">
        <v>7</v>
      </c>
      <c r="H696" s="157">
        <v>2</v>
      </c>
    </row>
    <row r="697" spans="7:8" x14ac:dyDescent="0.2">
      <c r="G697" s="157">
        <v>8</v>
      </c>
      <c r="H697" s="157">
        <v>1</v>
      </c>
    </row>
    <row r="698" spans="7:8" x14ac:dyDescent="0.2">
      <c r="G698" s="157">
        <v>8</v>
      </c>
      <c r="H698" s="157">
        <v>1</v>
      </c>
    </row>
    <row r="699" spans="7:8" x14ac:dyDescent="0.2">
      <c r="G699" s="157">
        <v>6</v>
      </c>
      <c r="H699" s="157">
        <v>1</v>
      </c>
    </row>
    <row r="700" spans="7:8" x14ac:dyDescent="0.2">
      <c r="G700" s="157">
        <v>9</v>
      </c>
      <c r="H700" s="157">
        <v>2</v>
      </c>
    </row>
    <row r="701" spans="7:8" x14ac:dyDescent="0.2">
      <c r="G701" s="157">
        <v>8</v>
      </c>
      <c r="H701" s="157">
        <v>1</v>
      </c>
    </row>
    <row r="702" spans="7:8" x14ac:dyDescent="0.2">
      <c r="G702" s="157">
        <v>8</v>
      </c>
      <c r="H702" s="157">
        <v>2</v>
      </c>
    </row>
    <row r="703" spans="7:8" x14ac:dyDescent="0.2">
      <c r="G703" s="157">
        <v>7</v>
      </c>
      <c r="H703" s="157">
        <v>1</v>
      </c>
    </row>
    <row r="704" spans="7:8" x14ac:dyDescent="0.2">
      <c r="G704" s="157">
        <v>7</v>
      </c>
      <c r="H704" s="157">
        <v>1</v>
      </c>
    </row>
    <row r="705" spans="7:8" x14ac:dyDescent="0.2">
      <c r="G705" s="157">
        <v>6</v>
      </c>
      <c r="H705" s="157">
        <v>1</v>
      </c>
    </row>
    <row r="706" spans="7:8" x14ac:dyDescent="0.2">
      <c r="G706" s="157">
        <v>9</v>
      </c>
      <c r="H706" s="157">
        <v>1</v>
      </c>
    </row>
    <row r="707" spans="7:8" x14ac:dyDescent="0.2">
      <c r="G707" s="157">
        <v>10</v>
      </c>
      <c r="H707" s="157">
        <v>1</v>
      </c>
    </row>
    <row r="708" spans="7:8" x14ac:dyDescent="0.2">
      <c r="G708" s="157">
        <v>13</v>
      </c>
      <c r="H708" s="157">
        <v>2</v>
      </c>
    </row>
    <row r="709" spans="7:8" x14ac:dyDescent="0.2">
      <c r="G709" s="157">
        <v>11</v>
      </c>
      <c r="H709" s="157">
        <v>2</v>
      </c>
    </row>
    <row r="710" spans="7:8" x14ac:dyDescent="0.2">
      <c r="G710" s="157">
        <v>7</v>
      </c>
      <c r="H710" s="157">
        <v>2</v>
      </c>
    </row>
    <row r="711" spans="7:8" x14ac:dyDescent="0.2">
      <c r="G711" s="157">
        <v>7</v>
      </c>
      <c r="H711" s="157">
        <v>1</v>
      </c>
    </row>
    <row r="712" spans="7:8" x14ac:dyDescent="0.2">
      <c r="G712" s="157">
        <v>14</v>
      </c>
      <c r="H712" s="157">
        <v>1</v>
      </c>
    </row>
    <row r="713" spans="7:8" x14ac:dyDescent="0.2">
      <c r="G713" s="157">
        <v>11</v>
      </c>
      <c r="H713" s="157">
        <v>0</v>
      </c>
    </row>
    <row r="714" spans="7:8" x14ac:dyDescent="0.2">
      <c r="G714" s="157">
        <v>13</v>
      </c>
      <c r="H714" s="157">
        <v>3</v>
      </c>
    </row>
    <row r="715" spans="7:8" x14ac:dyDescent="0.2">
      <c r="G715" s="157">
        <v>9</v>
      </c>
      <c r="H715" s="157">
        <v>2</v>
      </c>
    </row>
    <row r="716" spans="7:8" x14ac:dyDescent="0.2">
      <c r="G716" s="157">
        <v>15</v>
      </c>
      <c r="H716" s="157">
        <v>3</v>
      </c>
    </row>
    <row r="717" spans="7:8" x14ac:dyDescent="0.2">
      <c r="G717" s="157">
        <v>6</v>
      </c>
      <c r="H717" s="157">
        <v>1</v>
      </c>
    </row>
    <row r="718" spans="7:8" x14ac:dyDescent="0.2">
      <c r="G718" s="157">
        <v>9</v>
      </c>
      <c r="H718" s="157">
        <v>3</v>
      </c>
    </row>
    <row r="719" spans="7:8" x14ac:dyDescent="0.2">
      <c r="G719" s="157">
        <v>10</v>
      </c>
      <c r="H719" s="157">
        <v>3</v>
      </c>
    </row>
    <row r="720" spans="7:8" x14ac:dyDescent="0.2">
      <c r="G720" s="157">
        <v>10</v>
      </c>
      <c r="H720" s="157">
        <v>4</v>
      </c>
    </row>
    <row r="721" spans="7:8" x14ac:dyDescent="0.2">
      <c r="G721" s="157">
        <v>5</v>
      </c>
      <c r="H721" s="157">
        <v>1</v>
      </c>
    </row>
    <row r="722" spans="7:8" x14ac:dyDescent="0.2">
      <c r="G722" s="157">
        <v>16</v>
      </c>
      <c r="H722" s="157">
        <v>3</v>
      </c>
    </row>
    <row r="723" spans="7:8" x14ac:dyDescent="0.2">
      <c r="G723" s="157">
        <v>5</v>
      </c>
      <c r="H723" s="157">
        <v>1</v>
      </c>
    </row>
    <row r="724" spans="7:8" x14ac:dyDescent="0.2">
      <c r="G724" s="157">
        <v>7</v>
      </c>
      <c r="H724" s="157">
        <v>1</v>
      </c>
    </row>
    <row r="725" spans="7:8" x14ac:dyDescent="0.2">
      <c r="G725" s="157">
        <v>6</v>
      </c>
      <c r="H725" s="157">
        <v>1</v>
      </c>
    </row>
    <row r="726" spans="7:8" x14ac:dyDescent="0.2">
      <c r="G726" s="157">
        <v>5</v>
      </c>
      <c r="H726" s="157">
        <v>1</v>
      </c>
    </row>
    <row r="727" spans="7:8" x14ac:dyDescent="0.2">
      <c r="G727" s="157">
        <v>8</v>
      </c>
      <c r="H727" s="157">
        <v>2</v>
      </c>
    </row>
    <row r="728" spans="7:8" x14ac:dyDescent="0.2">
      <c r="G728" s="157">
        <v>7</v>
      </c>
      <c r="H728" s="157">
        <v>2</v>
      </c>
    </row>
    <row r="729" spans="7:8" x14ac:dyDescent="0.2">
      <c r="G729" s="157">
        <v>9</v>
      </c>
      <c r="H729" s="157">
        <v>2</v>
      </c>
    </row>
    <row r="730" spans="7:8" x14ac:dyDescent="0.2">
      <c r="G730" s="157">
        <v>9</v>
      </c>
      <c r="H730" s="157">
        <v>2</v>
      </c>
    </row>
    <row r="731" spans="7:8" x14ac:dyDescent="0.2">
      <c r="G731" s="157">
        <v>7</v>
      </c>
      <c r="H731" s="157">
        <v>2</v>
      </c>
    </row>
    <row r="732" spans="7:8" x14ac:dyDescent="0.2">
      <c r="G732" s="157">
        <v>6</v>
      </c>
      <c r="H732" s="157">
        <v>1</v>
      </c>
    </row>
    <row r="733" spans="7:8" x14ac:dyDescent="0.2">
      <c r="G733" s="157">
        <v>12</v>
      </c>
      <c r="H733" s="157">
        <v>4</v>
      </c>
    </row>
    <row r="734" spans="7:8" x14ac:dyDescent="0.2">
      <c r="G734" s="157">
        <v>8</v>
      </c>
      <c r="H734" s="157">
        <v>2</v>
      </c>
    </row>
    <row r="735" spans="7:8" x14ac:dyDescent="0.2">
      <c r="G735" s="157">
        <v>13</v>
      </c>
      <c r="H735" s="157">
        <v>4</v>
      </c>
    </row>
    <row r="736" spans="7:8" x14ac:dyDescent="0.2">
      <c r="G736" s="157">
        <v>6</v>
      </c>
      <c r="H736" s="157">
        <v>1</v>
      </c>
    </row>
    <row r="737" spans="7:8" x14ac:dyDescent="0.2">
      <c r="G737" s="157">
        <v>8</v>
      </c>
      <c r="H737" s="157">
        <v>3</v>
      </c>
    </row>
    <row r="738" spans="7:8" x14ac:dyDescent="0.2">
      <c r="G738" s="157">
        <v>16</v>
      </c>
      <c r="H738" s="157">
        <v>3</v>
      </c>
    </row>
    <row r="739" spans="7:8" x14ac:dyDescent="0.2">
      <c r="G739" s="157">
        <v>7</v>
      </c>
      <c r="H739" s="157">
        <v>2</v>
      </c>
    </row>
    <row r="740" spans="7:8" x14ac:dyDescent="0.2">
      <c r="G740" s="157">
        <v>16</v>
      </c>
      <c r="H740" s="157">
        <v>4</v>
      </c>
    </row>
    <row r="741" spans="7:8" x14ac:dyDescent="0.2">
      <c r="G741" s="157">
        <v>11</v>
      </c>
      <c r="H741" s="157">
        <v>3</v>
      </c>
    </row>
    <row r="742" spans="7:8" x14ac:dyDescent="0.2">
      <c r="G742" s="157">
        <v>21</v>
      </c>
      <c r="H742" s="157">
        <v>5</v>
      </c>
    </row>
    <row r="743" spans="7:8" x14ac:dyDescent="0.2">
      <c r="G743" s="157">
        <v>7</v>
      </c>
      <c r="H743" s="157">
        <v>2</v>
      </c>
    </row>
    <row r="744" spans="7:8" x14ac:dyDescent="0.2">
      <c r="G744" s="157">
        <v>6</v>
      </c>
      <c r="H744" s="157">
        <v>1</v>
      </c>
    </row>
    <row r="745" spans="7:8" x14ac:dyDescent="0.2">
      <c r="G745" s="157">
        <v>6</v>
      </c>
      <c r="H745" s="157">
        <v>2</v>
      </c>
    </row>
    <row r="746" spans="7:8" x14ac:dyDescent="0.2">
      <c r="G746" s="157">
        <v>7</v>
      </c>
      <c r="H746" s="157">
        <v>2</v>
      </c>
    </row>
    <row r="747" spans="7:8" x14ac:dyDescent="0.2">
      <c r="G747" s="157">
        <v>17</v>
      </c>
      <c r="H747" s="157">
        <v>3</v>
      </c>
    </row>
    <row r="748" spans="7:8" x14ac:dyDescent="0.2">
      <c r="G748" s="157">
        <v>10</v>
      </c>
      <c r="H748" s="157">
        <v>1</v>
      </c>
    </row>
    <row r="749" spans="7:8" x14ac:dyDescent="0.2">
      <c r="G749" s="157">
        <v>7</v>
      </c>
      <c r="H749" s="157">
        <v>2</v>
      </c>
    </row>
    <row r="750" spans="7:8" x14ac:dyDescent="0.2">
      <c r="G750" s="157">
        <v>12</v>
      </c>
      <c r="H750" s="157">
        <v>2</v>
      </c>
    </row>
    <row r="751" spans="7:8" x14ac:dyDescent="0.2">
      <c r="G751" s="157">
        <v>11</v>
      </c>
      <c r="H751" s="157">
        <v>2</v>
      </c>
    </row>
    <row r="752" spans="7:8" x14ac:dyDescent="0.2">
      <c r="G752" s="157">
        <v>13</v>
      </c>
      <c r="H752" s="157">
        <v>3</v>
      </c>
    </row>
    <row r="753" spans="7:8" x14ac:dyDescent="0.2">
      <c r="G753" s="157">
        <v>18</v>
      </c>
      <c r="H753" s="157">
        <v>4</v>
      </c>
    </row>
    <row r="754" spans="7:8" x14ac:dyDescent="0.2">
      <c r="G754" s="157">
        <v>8</v>
      </c>
      <c r="H754" s="157">
        <v>2</v>
      </c>
    </row>
    <row r="755" spans="7:8" x14ac:dyDescent="0.2">
      <c r="G755" s="157">
        <v>13</v>
      </c>
      <c r="H755" s="157">
        <v>3</v>
      </c>
    </row>
    <row r="756" spans="7:8" x14ac:dyDescent="0.2">
      <c r="G756" s="157">
        <v>19</v>
      </c>
      <c r="H756" s="157">
        <v>3</v>
      </c>
    </row>
    <row r="757" spans="7:8" x14ac:dyDescent="0.2">
      <c r="G757" s="157">
        <v>9</v>
      </c>
      <c r="H757" s="157">
        <v>2</v>
      </c>
    </row>
    <row r="758" spans="7:8" x14ac:dyDescent="0.2">
      <c r="G758" s="157">
        <v>10</v>
      </c>
      <c r="H758" s="157">
        <v>3</v>
      </c>
    </row>
    <row r="759" spans="7:8" x14ac:dyDescent="0.2">
      <c r="G759" s="157">
        <v>12</v>
      </c>
      <c r="H759" s="157">
        <v>2</v>
      </c>
    </row>
    <row r="760" spans="7:8" x14ac:dyDescent="0.2">
      <c r="G760" s="157">
        <v>12</v>
      </c>
      <c r="H760" s="157">
        <v>4</v>
      </c>
    </row>
    <row r="761" spans="7:8" x14ac:dyDescent="0.2">
      <c r="G761" s="157">
        <v>13</v>
      </c>
      <c r="H761" s="157">
        <v>4</v>
      </c>
    </row>
    <row r="762" spans="7:8" x14ac:dyDescent="0.2">
      <c r="G762" s="157">
        <v>6</v>
      </c>
      <c r="H762" s="157">
        <v>1</v>
      </c>
    </row>
    <row r="763" spans="7:8" x14ac:dyDescent="0.2">
      <c r="G763" s="157">
        <v>15</v>
      </c>
      <c r="H763" s="157">
        <v>3</v>
      </c>
    </row>
    <row r="764" spans="7:8" x14ac:dyDescent="0.2">
      <c r="G764" s="157">
        <v>12</v>
      </c>
      <c r="H764" s="157">
        <v>2</v>
      </c>
    </row>
    <row r="765" spans="7:8" x14ac:dyDescent="0.2">
      <c r="G765" s="157">
        <v>6</v>
      </c>
      <c r="H765" s="157">
        <v>2</v>
      </c>
    </row>
    <row r="766" spans="7:8" x14ac:dyDescent="0.2">
      <c r="G766" s="157">
        <v>16</v>
      </c>
      <c r="H766" s="157">
        <v>3</v>
      </c>
    </row>
    <row r="767" spans="7:8" x14ac:dyDescent="0.2">
      <c r="G767" s="157">
        <v>6</v>
      </c>
      <c r="H767" s="157">
        <v>1</v>
      </c>
    </row>
    <row r="768" spans="7:8" x14ac:dyDescent="0.2">
      <c r="G768" s="157">
        <v>8</v>
      </c>
      <c r="H768" s="157">
        <v>2</v>
      </c>
    </row>
    <row r="769" spans="7:8" x14ac:dyDescent="0.2">
      <c r="G769" s="157">
        <v>17</v>
      </c>
      <c r="H769" s="157">
        <v>4</v>
      </c>
    </row>
    <row r="770" spans="7:8" x14ac:dyDescent="0.2">
      <c r="G770" s="157">
        <v>9</v>
      </c>
      <c r="H770" s="157">
        <v>3</v>
      </c>
    </row>
    <row r="771" spans="7:8" x14ac:dyDescent="0.2">
      <c r="G771" s="157">
        <v>7</v>
      </c>
      <c r="H771" s="157">
        <v>1</v>
      </c>
    </row>
    <row r="772" spans="7:8" x14ac:dyDescent="0.2">
      <c r="G772" s="157">
        <v>5</v>
      </c>
      <c r="H772" s="157">
        <v>1</v>
      </c>
    </row>
    <row r="773" spans="7:8" x14ac:dyDescent="0.2">
      <c r="G773" s="157">
        <v>18</v>
      </c>
      <c r="H773" s="157">
        <v>4</v>
      </c>
    </row>
    <row r="774" spans="7:8" x14ac:dyDescent="0.2">
      <c r="G774" s="157">
        <v>18</v>
      </c>
      <c r="H774" s="157">
        <v>3</v>
      </c>
    </row>
    <row r="775" spans="7:8" x14ac:dyDescent="0.2">
      <c r="G775" s="157">
        <v>13</v>
      </c>
      <c r="H775" s="157">
        <v>3</v>
      </c>
    </row>
    <row r="776" spans="7:8" x14ac:dyDescent="0.2">
      <c r="G776" s="157">
        <v>4</v>
      </c>
      <c r="H776" s="157">
        <v>1</v>
      </c>
    </row>
    <row r="777" spans="7:8" x14ac:dyDescent="0.2">
      <c r="G777" s="157">
        <v>6</v>
      </c>
      <c r="H777" s="157">
        <v>2</v>
      </c>
    </row>
    <row r="778" spans="7:8" x14ac:dyDescent="0.2">
      <c r="G778" s="157">
        <v>13</v>
      </c>
      <c r="H778" s="157">
        <v>4</v>
      </c>
    </row>
    <row r="779" spans="7:8" x14ac:dyDescent="0.2">
      <c r="G779" s="157">
        <v>8</v>
      </c>
      <c r="H779" s="157">
        <v>1</v>
      </c>
    </row>
    <row r="780" spans="7:8" x14ac:dyDescent="0.2">
      <c r="G780" s="157">
        <v>9</v>
      </c>
      <c r="H780" s="157">
        <v>2</v>
      </c>
    </row>
    <row r="781" spans="7:8" x14ac:dyDescent="0.2">
      <c r="G781" s="157">
        <v>6</v>
      </c>
      <c r="H781" s="157">
        <v>2</v>
      </c>
    </row>
    <row r="782" spans="7:8" x14ac:dyDescent="0.2">
      <c r="G782" s="157">
        <v>12</v>
      </c>
      <c r="H782" s="157">
        <v>3</v>
      </c>
    </row>
    <row r="783" spans="7:8" x14ac:dyDescent="0.2">
      <c r="G783" s="157">
        <v>17</v>
      </c>
      <c r="H783" s="157">
        <v>4</v>
      </c>
    </row>
    <row r="784" spans="7:8" x14ac:dyDescent="0.2">
      <c r="G784" s="157">
        <v>6</v>
      </c>
      <c r="H784" s="157">
        <v>2</v>
      </c>
    </row>
    <row r="785" spans="7:8" x14ac:dyDescent="0.2">
      <c r="G785" s="157">
        <v>6</v>
      </c>
      <c r="H785" s="157">
        <v>1</v>
      </c>
    </row>
    <row r="786" spans="7:8" x14ac:dyDescent="0.2">
      <c r="G786" s="157">
        <v>10</v>
      </c>
      <c r="H786" s="157">
        <v>3</v>
      </c>
    </row>
    <row r="787" spans="7:8" x14ac:dyDescent="0.2">
      <c r="G787" s="157">
        <v>5</v>
      </c>
      <c r="H787" s="157">
        <v>1</v>
      </c>
    </row>
    <row r="788" spans="7:8" x14ac:dyDescent="0.2">
      <c r="G788" s="157">
        <v>12</v>
      </c>
      <c r="H788" s="157">
        <v>3</v>
      </c>
    </row>
    <row r="789" spans="7:8" x14ac:dyDescent="0.2">
      <c r="G789" s="157">
        <v>8</v>
      </c>
      <c r="H789" s="157">
        <v>3</v>
      </c>
    </row>
    <row r="790" spans="7:8" x14ac:dyDescent="0.2">
      <c r="G790" s="157">
        <v>9</v>
      </c>
      <c r="H790" s="157">
        <v>3</v>
      </c>
    </row>
    <row r="791" spans="7:8" x14ac:dyDescent="0.2">
      <c r="G791" s="157">
        <v>8</v>
      </c>
      <c r="H791" s="157">
        <v>3</v>
      </c>
    </row>
    <row r="792" spans="7:8" x14ac:dyDescent="0.2">
      <c r="G792" s="157">
        <v>12</v>
      </c>
      <c r="H792" s="157">
        <v>3</v>
      </c>
    </row>
    <row r="793" spans="7:8" x14ac:dyDescent="0.2">
      <c r="G793" s="157">
        <v>8</v>
      </c>
      <c r="H793" s="157">
        <v>2</v>
      </c>
    </row>
    <row r="794" spans="7:8" x14ac:dyDescent="0.2">
      <c r="G794" s="157">
        <v>12</v>
      </c>
      <c r="H794" s="157">
        <v>2</v>
      </c>
    </row>
    <row r="795" spans="7:8" x14ac:dyDescent="0.2">
      <c r="G795" s="157">
        <v>8</v>
      </c>
      <c r="H795" s="157">
        <v>2</v>
      </c>
    </row>
    <row r="796" spans="7:8" x14ac:dyDescent="0.2">
      <c r="G796" s="157">
        <v>12</v>
      </c>
      <c r="H796" s="157">
        <v>3</v>
      </c>
    </row>
    <row r="797" spans="7:8" x14ac:dyDescent="0.2">
      <c r="G797" s="157">
        <v>6</v>
      </c>
      <c r="H797" s="157">
        <v>1</v>
      </c>
    </row>
    <row r="798" spans="7:8" x14ac:dyDescent="0.2">
      <c r="G798" s="157">
        <v>6</v>
      </c>
      <c r="H798" s="157">
        <v>1</v>
      </c>
    </row>
    <row r="799" spans="7:8" x14ac:dyDescent="0.2">
      <c r="G799" s="157">
        <v>9</v>
      </c>
      <c r="H799" s="157">
        <v>3</v>
      </c>
    </row>
    <row r="800" spans="7:8" x14ac:dyDescent="0.2">
      <c r="G800" s="157">
        <v>9</v>
      </c>
      <c r="H800" s="157">
        <v>2</v>
      </c>
    </row>
    <row r="801" spans="7:8" x14ac:dyDescent="0.2">
      <c r="G801" s="157">
        <v>6</v>
      </c>
      <c r="H801" s="157">
        <v>1</v>
      </c>
    </row>
    <row r="802" spans="7:8" x14ac:dyDescent="0.2">
      <c r="G802" s="157">
        <v>6</v>
      </c>
      <c r="H802" s="157">
        <v>1</v>
      </c>
    </row>
    <row r="803" spans="7:8" x14ac:dyDescent="0.2">
      <c r="G803" s="157">
        <v>8</v>
      </c>
      <c r="H803" s="157">
        <v>1</v>
      </c>
    </row>
    <row r="804" spans="7:8" x14ac:dyDescent="0.2">
      <c r="G804" s="157">
        <v>8</v>
      </c>
      <c r="H804" s="157">
        <v>2</v>
      </c>
    </row>
    <row r="805" spans="7:8" x14ac:dyDescent="0.2">
      <c r="G805" s="157">
        <v>8</v>
      </c>
      <c r="H805" s="157">
        <v>2</v>
      </c>
    </row>
    <row r="806" spans="7:8" x14ac:dyDescent="0.2">
      <c r="G806" s="157">
        <v>6</v>
      </c>
      <c r="H806" s="157">
        <v>1</v>
      </c>
    </row>
    <row r="807" spans="7:8" x14ac:dyDescent="0.2">
      <c r="G807" s="157">
        <v>10</v>
      </c>
      <c r="H807" s="157">
        <v>3</v>
      </c>
    </row>
    <row r="808" spans="7:8" x14ac:dyDescent="0.2">
      <c r="G808" s="157">
        <v>15</v>
      </c>
      <c r="H808" s="157">
        <v>3</v>
      </c>
    </row>
    <row r="809" spans="7:8" x14ac:dyDescent="0.2">
      <c r="G809" s="157">
        <v>8</v>
      </c>
      <c r="H809" s="157">
        <v>2</v>
      </c>
    </row>
    <row r="810" spans="7:8" x14ac:dyDescent="0.2">
      <c r="G810" s="157">
        <v>7</v>
      </c>
      <c r="H810" s="157">
        <v>1</v>
      </c>
    </row>
    <row r="811" spans="7:8" x14ac:dyDescent="0.2">
      <c r="G811" s="157">
        <v>9</v>
      </c>
      <c r="H811" s="157">
        <v>2</v>
      </c>
    </row>
    <row r="812" spans="7:8" x14ac:dyDescent="0.2">
      <c r="G812" s="157">
        <v>11</v>
      </c>
      <c r="H812" s="157">
        <v>2</v>
      </c>
    </row>
    <row r="813" spans="7:8" x14ac:dyDescent="0.2">
      <c r="G813" s="157">
        <v>6</v>
      </c>
      <c r="H813" s="157">
        <v>1</v>
      </c>
    </row>
    <row r="814" spans="7:8" x14ac:dyDescent="0.2">
      <c r="G814" s="157">
        <v>8</v>
      </c>
      <c r="H814" s="157">
        <v>1</v>
      </c>
    </row>
    <row r="815" spans="7:8" x14ac:dyDescent="0.2">
      <c r="G815" s="157">
        <v>13</v>
      </c>
      <c r="H815" s="157">
        <v>4</v>
      </c>
    </row>
    <row r="816" spans="7:8" x14ac:dyDescent="0.2">
      <c r="G816" s="157">
        <v>13</v>
      </c>
      <c r="H816" s="157">
        <v>3</v>
      </c>
    </row>
    <row r="817" spans="7:8" x14ac:dyDescent="0.2">
      <c r="G817" s="157">
        <v>14</v>
      </c>
      <c r="H817" s="157">
        <v>3</v>
      </c>
    </row>
    <row r="818" spans="7:8" x14ac:dyDescent="0.2">
      <c r="G818" s="157">
        <v>17</v>
      </c>
      <c r="H818" s="157">
        <v>4</v>
      </c>
    </row>
    <row r="819" spans="7:8" x14ac:dyDescent="0.2">
      <c r="G819" s="157">
        <v>10</v>
      </c>
      <c r="H819" s="157">
        <v>1</v>
      </c>
    </row>
    <row r="820" spans="7:8" x14ac:dyDescent="0.2">
      <c r="G820" s="157">
        <v>12</v>
      </c>
      <c r="H820" s="157">
        <v>3</v>
      </c>
    </row>
    <row r="821" spans="7:8" x14ac:dyDescent="0.2">
      <c r="G821" s="157">
        <v>14</v>
      </c>
      <c r="H821" s="157">
        <v>2</v>
      </c>
    </row>
    <row r="822" spans="7:8" x14ac:dyDescent="0.2">
      <c r="G822" s="157">
        <v>13</v>
      </c>
      <c r="H822" s="157">
        <v>4</v>
      </c>
    </row>
    <row r="823" spans="7:8" x14ac:dyDescent="0.2">
      <c r="G823" s="157">
        <v>16</v>
      </c>
      <c r="H823" s="157">
        <v>3</v>
      </c>
    </row>
    <row r="824" spans="7:8" x14ac:dyDescent="0.2">
      <c r="G824" s="157">
        <v>16</v>
      </c>
      <c r="H824" s="157">
        <v>3</v>
      </c>
    </row>
    <row r="825" spans="7:8" x14ac:dyDescent="0.2">
      <c r="G825" s="157">
        <v>13</v>
      </c>
      <c r="H825" s="157">
        <v>3</v>
      </c>
    </row>
    <row r="826" spans="7:8" x14ac:dyDescent="0.2">
      <c r="G826" s="157">
        <v>11</v>
      </c>
      <c r="H826" s="157">
        <v>2</v>
      </c>
    </row>
    <row r="827" spans="7:8" x14ac:dyDescent="0.2">
      <c r="G827" s="157">
        <v>13</v>
      </c>
      <c r="H827" s="157">
        <v>3</v>
      </c>
    </row>
    <row r="828" spans="7:8" x14ac:dyDescent="0.2">
      <c r="G828" s="157">
        <v>17</v>
      </c>
      <c r="H828" s="157">
        <v>2</v>
      </c>
    </row>
    <row r="829" spans="7:8" x14ac:dyDescent="0.2">
      <c r="G829" s="157">
        <v>18</v>
      </c>
      <c r="H829" s="157">
        <v>4</v>
      </c>
    </row>
    <row r="830" spans="7:8" x14ac:dyDescent="0.2">
      <c r="G830" s="157">
        <v>8</v>
      </c>
      <c r="H830" s="157">
        <v>2</v>
      </c>
    </row>
    <row r="831" spans="7:8" x14ac:dyDescent="0.2">
      <c r="G831" s="157">
        <v>6</v>
      </c>
      <c r="H831" s="157">
        <v>1</v>
      </c>
    </row>
    <row r="832" spans="7:8" x14ac:dyDescent="0.2">
      <c r="G832" s="157">
        <v>7</v>
      </c>
      <c r="H832" s="157">
        <v>2</v>
      </c>
    </row>
    <row r="833" spans="7:8" x14ac:dyDescent="0.2">
      <c r="G833" s="157">
        <v>15</v>
      </c>
      <c r="H833" s="157">
        <v>4</v>
      </c>
    </row>
    <row r="834" spans="7:8" x14ac:dyDescent="0.2">
      <c r="G834" s="157">
        <v>13</v>
      </c>
      <c r="H834" s="157">
        <v>3</v>
      </c>
    </row>
    <row r="835" spans="7:8" x14ac:dyDescent="0.2">
      <c r="G835" s="157">
        <v>14</v>
      </c>
      <c r="H835" s="157">
        <v>3</v>
      </c>
    </row>
    <row r="836" spans="7:8" x14ac:dyDescent="0.2">
      <c r="G836" s="157">
        <v>12</v>
      </c>
      <c r="H836" s="157">
        <v>3</v>
      </c>
    </row>
    <row r="837" spans="7:8" x14ac:dyDescent="0.2">
      <c r="G837" s="157">
        <v>11</v>
      </c>
      <c r="H837" s="157">
        <v>4</v>
      </c>
    </row>
    <row r="838" spans="7:8" x14ac:dyDescent="0.2">
      <c r="G838" s="157">
        <v>13</v>
      </c>
      <c r="H838" s="157">
        <v>3</v>
      </c>
    </row>
    <row r="839" spans="7:8" x14ac:dyDescent="0.2">
      <c r="G839" s="157">
        <v>12</v>
      </c>
      <c r="H839" s="157">
        <v>3</v>
      </c>
    </row>
    <row r="840" spans="7:8" x14ac:dyDescent="0.2">
      <c r="G840" s="157">
        <v>5</v>
      </c>
      <c r="H840" s="157">
        <v>1</v>
      </c>
    </row>
    <row r="841" spans="7:8" x14ac:dyDescent="0.2">
      <c r="G841" s="157">
        <v>7</v>
      </c>
      <c r="H841" s="157">
        <v>2</v>
      </c>
    </row>
    <row r="842" spans="7:8" x14ac:dyDescent="0.2">
      <c r="G842" s="157">
        <v>12</v>
      </c>
      <c r="H842" s="157">
        <v>3</v>
      </c>
    </row>
    <row r="843" spans="7:8" x14ac:dyDescent="0.2">
      <c r="G843" s="157">
        <v>11</v>
      </c>
      <c r="H843" s="157">
        <v>3</v>
      </c>
    </row>
    <row r="844" spans="7:8" x14ac:dyDescent="0.2">
      <c r="G844" s="157">
        <v>12</v>
      </c>
      <c r="H844" s="157">
        <v>4</v>
      </c>
    </row>
    <row r="845" spans="7:8" x14ac:dyDescent="0.2">
      <c r="G845" s="157">
        <v>15</v>
      </c>
      <c r="H845" s="157">
        <v>3</v>
      </c>
    </row>
    <row r="846" spans="7:8" x14ac:dyDescent="0.2">
      <c r="G846" s="157">
        <v>9</v>
      </c>
      <c r="H846" s="157">
        <v>3</v>
      </c>
    </row>
    <row r="847" spans="7:8" x14ac:dyDescent="0.2">
      <c r="G847" s="157">
        <v>10</v>
      </c>
      <c r="H847" s="157">
        <v>3</v>
      </c>
    </row>
    <row r="848" spans="7:8" x14ac:dyDescent="0.2">
      <c r="G848" s="157">
        <v>10</v>
      </c>
      <c r="H848" s="157">
        <v>2</v>
      </c>
    </row>
    <row r="849" spans="7:8" x14ac:dyDescent="0.2">
      <c r="G849" s="157">
        <v>12</v>
      </c>
      <c r="H849" s="157">
        <v>3</v>
      </c>
    </row>
    <row r="850" spans="7:8" x14ac:dyDescent="0.2">
      <c r="G850" s="157">
        <v>8</v>
      </c>
      <c r="H850" s="157">
        <v>2</v>
      </c>
    </row>
    <row r="851" spans="7:8" x14ac:dyDescent="0.2">
      <c r="G851" s="157">
        <v>6</v>
      </c>
      <c r="H851" s="157">
        <v>1</v>
      </c>
    </row>
    <row r="852" spans="7:8" x14ac:dyDescent="0.2">
      <c r="G852" s="157">
        <v>8</v>
      </c>
      <c r="H852" s="157">
        <v>2</v>
      </c>
    </row>
    <row r="853" spans="7:8" x14ac:dyDescent="0.2">
      <c r="G853" s="157">
        <v>8</v>
      </c>
      <c r="H853" s="157">
        <v>3</v>
      </c>
    </row>
    <row r="854" spans="7:8" x14ac:dyDescent="0.2">
      <c r="G854" s="157">
        <v>5</v>
      </c>
      <c r="H854" s="157">
        <v>1</v>
      </c>
    </row>
    <row r="855" spans="7:8" x14ac:dyDescent="0.2">
      <c r="G855" s="157">
        <v>12</v>
      </c>
      <c r="H855" s="157">
        <v>3</v>
      </c>
    </row>
    <row r="856" spans="7:8" x14ac:dyDescent="0.2">
      <c r="G856" s="157">
        <v>12</v>
      </c>
      <c r="H856" s="157">
        <v>3</v>
      </c>
    </row>
    <row r="857" spans="7:8" x14ac:dyDescent="0.2">
      <c r="G857" s="157">
        <v>15</v>
      </c>
      <c r="H857" s="157">
        <v>4</v>
      </c>
    </row>
    <row r="858" spans="7:8" x14ac:dyDescent="0.2">
      <c r="G858" s="157">
        <v>13</v>
      </c>
      <c r="H858" s="157">
        <v>3</v>
      </c>
    </row>
    <row r="859" spans="7:8" x14ac:dyDescent="0.2">
      <c r="G859" s="157">
        <v>6</v>
      </c>
      <c r="H859" s="157">
        <v>1</v>
      </c>
    </row>
    <row r="860" spans="7:8" x14ac:dyDescent="0.2">
      <c r="G860" s="157">
        <v>16</v>
      </c>
      <c r="H860" s="157">
        <v>3</v>
      </c>
    </row>
    <row r="861" spans="7:8" x14ac:dyDescent="0.2">
      <c r="G861" s="157">
        <v>12</v>
      </c>
      <c r="H861" s="157">
        <v>2</v>
      </c>
    </row>
    <row r="862" spans="7:8" x14ac:dyDescent="0.2">
      <c r="G862" s="157">
        <v>5</v>
      </c>
      <c r="H862" s="157">
        <v>1</v>
      </c>
    </row>
    <row r="863" spans="7:8" x14ac:dyDescent="0.2">
      <c r="G863" s="157">
        <v>10</v>
      </c>
      <c r="H863" s="157">
        <v>3</v>
      </c>
    </row>
    <row r="864" spans="7:8" x14ac:dyDescent="0.2">
      <c r="G864" s="157">
        <v>5</v>
      </c>
      <c r="H864" s="157">
        <v>1</v>
      </c>
    </row>
    <row r="865" spans="7:8" x14ac:dyDescent="0.2">
      <c r="G865" s="157">
        <v>8</v>
      </c>
      <c r="H865" s="157">
        <v>2</v>
      </c>
    </row>
    <row r="866" spans="7:8" x14ac:dyDescent="0.2">
      <c r="G866" s="157">
        <v>6</v>
      </c>
      <c r="H866" s="157">
        <v>1</v>
      </c>
    </row>
    <row r="867" spans="7:8" x14ac:dyDescent="0.2">
      <c r="G867" s="157">
        <v>9</v>
      </c>
      <c r="H867" s="157">
        <v>2</v>
      </c>
    </row>
    <row r="868" spans="7:8" x14ac:dyDescent="0.2">
      <c r="G868" s="157">
        <v>14</v>
      </c>
      <c r="H868" s="157">
        <v>3</v>
      </c>
    </row>
    <row r="869" spans="7:8" x14ac:dyDescent="0.2">
      <c r="G869" s="157">
        <v>6</v>
      </c>
      <c r="H869" s="157">
        <v>1</v>
      </c>
    </row>
    <row r="870" spans="7:8" x14ac:dyDescent="0.2">
      <c r="G870" s="157">
        <v>14</v>
      </c>
      <c r="H870" s="157">
        <v>2</v>
      </c>
    </row>
    <row r="871" spans="7:8" x14ac:dyDescent="0.2">
      <c r="G871" s="157">
        <v>19</v>
      </c>
      <c r="H871" s="157">
        <v>3</v>
      </c>
    </row>
    <row r="872" spans="7:8" x14ac:dyDescent="0.2">
      <c r="G872" s="157">
        <v>8</v>
      </c>
      <c r="H872" s="157">
        <v>1</v>
      </c>
    </row>
    <row r="873" spans="7:8" x14ac:dyDescent="0.2">
      <c r="G873" s="157">
        <v>8</v>
      </c>
      <c r="H873" s="157">
        <v>1</v>
      </c>
    </row>
    <row r="874" spans="7:8" x14ac:dyDescent="0.2">
      <c r="G874" s="157">
        <v>17</v>
      </c>
      <c r="H874" s="157">
        <v>3</v>
      </c>
    </row>
    <row r="875" spans="7:8" x14ac:dyDescent="0.2">
      <c r="G875" s="157">
        <v>8</v>
      </c>
      <c r="H875" s="157">
        <v>1</v>
      </c>
    </row>
    <row r="876" spans="7:8" x14ac:dyDescent="0.2">
      <c r="G876" s="157">
        <v>7</v>
      </c>
      <c r="H876" s="157">
        <v>2</v>
      </c>
    </row>
    <row r="877" spans="7:8" x14ac:dyDescent="0.2">
      <c r="G877" s="157">
        <v>21</v>
      </c>
      <c r="H877" s="157">
        <v>6</v>
      </c>
    </row>
    <row r="878" spans="7:8" x14ac:dyDescent="0.2">
      <c r="G878" s="157">
        <v>9</v>
      </c>
      <c r="H878" s="157">
        <v>2</v>
      </c>
    </row>
    <row r="879" spans="7:8" x14ac:dyDescent="0.2">
      <c r="G879" s="157">
        <v>24</v>
      </c>
      <c r="H879" s="157">
        <v>4</v>
      </c>
    </row>
    <row r="880" spans="7:8" x14ac:dyDescent="0.2">
      <c r="G880" s="157">
        <v>17</v>
      </c>
      <c r="H880" s="157">
        <v>3</v>
      </c>
    </row>
    <row r="881" spans="7:8" x14ac:dyDescent="0.2">
      <c r="G881" s="157">
        <v>18</v>
      </c>
      <c r="H881" s="157">
        <v>4</v>
      </c>
    </row>
    <row r="882" spans="7:8" x14ac:dyDescent="0.2">
      <c r="G882" s="157">
        <v>16</v>
      </c>
      <c r="H882" s="157">
        <v>4</v>
      </c>
    </row>
    <row r="883" spans="7:8" x14ac:dyDescent="0.2">
      <c r="G883" s="157">
        <v>17</v>
      </c>
      <c r="H883" s="157">
        <v>3</v>
      </c>
    </row>
    <row r="884" spans="7:8" x14ac:dyDescent="0.2">
      <c r="G884" s="157">
        <v>18</v>
      </c>
      <c r="H884" s="157">
        <v>4</v>
      </c>
    </row>
    <row r="885" spans="7:8" x14ac:dyDescent="0.2">
      <c r="G885" s="157">
        <v>11</v>
      </c>
      <c r="H885" s="157">
        <v>3</v>
      </c>
    </row>
    <row r="886" spans="7:8" x14ac:dyDescent="0.2">
      <c r="G886" s="157">
        <v>12</v>
      </c>
      <c r="H886" s="157">
        <v>3</v>
      </c>
    </row>
    <row r="887" spans="7:8" x14ac:dyDescent="0.2">
      <c r="G887" s="157">
        <v>9</v>
      </c>
      <c r="H887" s="157">
        <v>2</v>
      </c>
    </row>
    <row r="888" spans="7:8" x14ac:dyDescent="0.2">
      <c r="G888" s="157">
        <v>8</v>
      </c>
      <c r="H888" s="157">
        <v>3</v>
      </c>
    </row>
    <row r="889" spans="7:8" x14ac:dyDescent="0.2">
      <c r="G889" s="157">
        <v>13</v>
      </c>
      <c r="H889" s="157">
        <v>3</v>
      </c>
    </row>
    <row r="890" spans="7:8" x14ac:dyDescent="0.2">
      <c r="G890" s="157">
        <v>6</v>
      </c>
      <c r="H890" s="157">
        <v>1</v>
      </c>
    </row>
    <row r="891" spans="7:8" x14ac:dyDescent="0.2">
      <c r="G891" s="157">
        <v>5</v>
      </c>
      <c r="H891" s="157">
        <v>1</v>
      </c>
    </row>
    <row r="892" spans="7:8" x14ac:dyDescent="0.2">
      <c r="G892" s="157">
        <v>8</v>
      </c>
      <c r="H892" s="157">
        <v>2</v>
      </c>
    </row>
    <row r="893" spans="7:8" x14ac:dyDescent="0.2">
      <c r="G893" s="157">
        <v>11</v>
      </c>
      <c r="H893" s="157">
        <v>3</v>
      </c>
    </row>
    <row r="894" spans="7:8" x14ac:dyDescent="0.2">
      <c r="G894" s="157">
        <v>7</v>
      </c>
      <c r="H894" s="157">
        <v>1</v>
      </c>
    </row>
    <row r="895" spans="7:8" x14ac:dyDescent="0.2">
      <c r="G895" s="157">
        <v>10</v>
      </c>
      <c r="H895" s="157">
        <v>3</v>
      </c>
    </row>
    <row r="896" spans="7:8" x14ac:dyDescent="0.2">
      <c r="G896" s="157">
        <v>9</v>
      </c>
      <c r="H896" s="157">
        <v>3</v>
      </c>
    </row>
    <row r="897" spans="7:8" x14ac:dyDescent="0.2">
      <c r="G897" s="157">
        <v>13</v>
      </c>
      <c r="H897" s="157">
        <v>4</v>
      </c>
    </row>
    <row r="898" spans="7:8" x14ac:dyDescent="0.2">
      <c r="G898" s="157">
        <v>10</v>
      </c>
      <c r="H898" s="157">
        <v>4</v>
      </c>
    </row>
    <row r="899" spans="7:8" x14ac:dyDescent="0.2">
      <c r="G899" s="157">
        <v>17</v>
      </c>
      <c r="H899" s="157">
        <v>4</v>
      </c>
    </row>
    <row r="900" spans="7:8" x14ac:dyDescent="0.2">
      <c r="G900" s="157">
        <v>11</v>
      </c>
      <c r="H900" s="157">
        <v>3</v>
      </c>
    </row>
    <row r="901" spans="7:8" x14ac:dyDescent="0.2">
      <c r="G901" s="157">
        <v>13</v>
      </c>
      <c r="H901" s="157">
        <v>4</v>
      </c>
    </row>
    <row r="902" spans="7:8" x14ac:dyDescent="0.2">
      <c r="G902" s="157">
        <v>15</v>
      </c>
      <c r="H902" s="157">
        <v>3</v>
      </c>
    </row>
    <row r="903" spans="7:8" x14ac:dyDescent="0.2">
      <c r="G903" s="157">
        <v>17</v>
      </c>
      <c r="H903" s="157">
        <v>4</v>
      </c>
    </row>
    <row r="904" spans="7:8" x14ac:dyDescent="0.2">
      <c r="G904" s="157">
        <v>17</v>
      </c>
      <c r="H904" s="157">
        <v>4</v>
      </c>
    </row>
    <row r="905" spans="7:8" x14ac:dyDescent="0.2">
      <c r="G905" s="157">
        <v>10</v>
      </c>
      <c r="H905" s="157">
        <v>3</v>
      </c>
    </row>
    <row r="906" spans="7:8" x14ac:dyDescent="0.2">
      <c r="G906" s="157">
        <v>8</v>
      </c>
      <c r="H906" s="157">
        <v>1</v>
      </c>
    </row>
    <row r="907" spans="7:8" x14ac:dyDescent="0.2">
      <c r="G907" s="157">
        <v>16</v>
      </c>
      <c r="H907" s="157">
        <v>3</v>
      </c>
    </row>
    <row r="908" spans="7:8" x14ac:dyDescent="0.2">
      <c r="G908" s="157">
        <v>8</v>
      </c>
      <c r="H908" s="157">
        <v>1</v>
      </c>
    </row>
    <row r="909" spans="7:8" x14ac:dyDescent="0.2">
      <c r="G909" s="157">
        <v>8</v>
      </c>
      <c r="H909" s="157">
        <v>1</v>
      </c>
    </row>
    <row r="910" spans="7:8" x14ac:dyDescent="0.2">
      <c r="G910" s="157">
        <v>9</v>
      </c>
      <c r="H910" s="157">
        <v>2</v>
      </c>
    </row>
    <row r="911" spans="7:8" x14ac:dyDescent="0.2">
      <c r="G911" s="157">
        <v>17</v>
      </c>
      <c r="H911" s="157">
        <v>3</v>
      </c>
    </row>
    <row r="912" spans="7:8" x14ac:dyDescent="0.2">
      <c r="G912" s="157">
        <v>10</v>
      </c>
      <c r="H912" s="157">
        <v>2</v>
      </c>
    </row>
    <row r="913" spans="7:8" x14ac:dyDescent="0.2">
      <c r="G913" s="157">
        <v>8</v>
      </c>
      <c r="H913" s="157">
        <v>1</v>
      </c>
    </row>
    <row r="914" spans="7:8" x14ac:dyDescent="0.2">
      <c r="G914" s="157">
        <v>18</v>
      </c>
      <c r="H914" s="157">
        <v>3</v>
      </c>
    </row>
    <row r="915" spans="7:8" x14ac:dyDescent="0.2">
      <c r="G915" s="157">
        <v>6</v>
      </c>
      <c r="H915" s="157">
        <v>1</v>
      </c>
    </row>
    <row r="916" spans="7:8" x14ac:dyDescent="0.2">
      <c r="G916" s="157">
        <v>13</v>
      </c>
      <c r="H916" s="157">
        <v>3</v>
      </c>
    </row>
    <row r="917" spans="7:8" x14ac:dyDescent="0.2">
      <c r="G917" s="157">
        <v>9</v>
      </c>
      <c r="H917" s="157">
        <v>2</v>
      </c>
    </row>
    <row r="918" spans="7:8" x14ac:dyDescent="0.2">
      <c r="G918" s="157">
        <v>17</v>
      </c>
      <c r="H918" s="157">
        <v>3</v>
      </c>
    </row>
    <row r="919" spans="7:8" x14ac:dyDescent="0.2">
      <c r="G919" s="157">
        <v>6</v>
      </c>
      <c r="H919" s="157">
        <v>1</v>
      </c>
    </row>
    <row r="920" spans="7:8" x14ac:dyDescent="0.2">
      <c r="G920" s="157">
        <v>9</v>
      </c>
      <c r="H920" s="157">
        <v>2</v>
      </c>
    </row>
    <row r="921" spans="7:8" x14ac:dyDescent="0.2">
      <c r="G921" s="157">
        <v>8</v>
      </c>
      <c r="H921" s="157">
        <v>3</v>
      </c>
    </row>
    <row r="922" spans="7:8" x14ac:dyDescent="0.2">
      <c r="G922" s="157">
        <v>16</v>
      </c>
      <c r="H922" s="157">
        <v>3</v>
      </c>
    </row>
    <row r="923" spans="7:8" x14ac:dyDescent="0.2">
      <c r="G923" s="157">
        <v>7</v>
      </c>
      <c r="H923" s="157">
        <v>1</v>
      </c>
    </row>
    <row r="924" spans="7:8" x14ac:dyDescent="0.2">
      <c r="G924" s="157">
        <v>13</v>
      </c>
      <c r="H924" s="157">
        <v>3</v>
      </c>
    </row>
    <row r="925" spans="7:8" x14ac:dyDescent="0.2">
      <c r="G925" s="157">
        <v>7</v>
      </c>
      <c r="H925" s="157">
        <v>1</v>
      </c>
    </row>
    <row r="926" spans="7:8" x14ac:dyDescent="0.2">
      <c r="G926" s="157">
        <v>6</v>
      </c>
      <c r="H926" s="157">
        <v>1</v>
      </c>
    </row>
    <row r="927" spans="7:8" x14ac:dyDescent="0.2">
      <c r="G927" s="157">
        <v>7</v>
      </c>
      <c r="H927" s="157">
        <v>1</v>
      </c>
    </row>
    <row r="928" spans="7:8" x14ac:dyDescent="0.2">
      <c r="G928" s="157">
        <v>17</v>
      </c>
      <c r="H928" s="157">
        <v>3</v>
      </c>
    </row>
    <row r="929" spans="7:8" x14ac:dyDescent="0.2">
      <c r="G929" s="157">
        <v>14</v>
      </c>
      <c r="H929" s="157">
        <v>4</v>
      </c>
    </row>
    <row r="930" spans="7:8" x14ac:dyDescent="0.2">
      <c r="G930" s="157">
        <v>6</v>
      </c>
      <c r="H930" s="157">
        <v>1</v>
      </c>
    </row>
    <row r="931" spans="7:8" x14ac:dyDescent="0.2">
      <c r="G931" s="157">
        <v>8</v>
      </c>
      <c r="H931" s="157">
        <v>2</v>
      </c>
    </row>
    <row r="932" spans="7:8" x14ac:dyDescent="0.2">
      <c r="G932" s="157">
        <v>9</v>
      </c>
      <c r="H932" s="157">
        <v>2</v>
      </c>
    </row>
    <row r="933" spans="7:8" x14ac:dyDescent="0.2">
      <c r="G933" s="157">
        <v>8</v>
      </c>
      <c r="H933" s="157">
        <v>2</v>
      </c>
    </row>
    <row r="934" spans="7:8" x14ac:dyDescent="0.2">
      <c r="G934" s="157">
        <v>5</v>
      </c>
      <c r="H934" s="157">
        <v>1</v>
      </c>
    </row>
    <row r="935" spans="7:8" x14ac:dyDescent="0.2">
      <c r="G935" s="157">
        <v>10</v>
      </c>
      <c r="H935" s="157">
        <v>2</v>
      </c>
    </row>
    <row r="936" spans="7:8" x14ac:dyDescent="0.2">
      <c r="G936" s="157">
        <v>8</v>
      </c>
      <c r="H936" s="157">
        <v>2</v>
      </c>
    </row>
    <row r="937" spans="7:8" x14ac:dyDescent="0.2">
      <c r="G937" s="157">
        <v>6</v>
      </c>
      <c r="H937" s="157">
        <v>1</v>
      </c>
    </row>
    <row r="938" spans="7:8" x14ac:dyDescent="0.2">
      <c r="G938" s="157">
        <v>23</v>
      </c>
      <c r="H938" s="157">
        <v>4</v>
      </c>
    </row>
    <row r="939" spans="7:8" x14ac:dyDescent="0.2">
      <c r="G939" s="157">
        <v>10</v>
      </c>
      <c r="H939" s="157">
        <v>4</v>
      </c>
    </row>
    <row r="940" spans="7:8" x14ac:dyDescent="0.2">
      <c r="G940" s="157">
        <v>13</v>
      </c>
      <c r="H940" s="157">
        <v>2</v>
      </c>
    </row>
    <row r="941" spans="7:8" x14ac:dyDescent="0.2">
      <c r="G941" s="157">
        <v>10</v>
      </c>
      <c r="H941" s="157">
        <v>3</v>
      </c>
    </row>
    <row r="942" spans="7:8" x14ac:dyDescent="0.2">
      <c r="G942" s="157">
        <v>18</v>
      </c>
      <c r="H942" s="157">
        <v>4</v>
      </c>
    </row>
    <row r="943" spans="7:8" x14ac:dyDescent="0.2">
      <c r="G943" s="157">
        <v>13</v>
      </c>
      <c r="H943" s="157">
        <v>4</v>
      </c>
    </row>
    <row r="944" spans="7:8" x14ac:dyDescent="0.2">
      <c r="G944" s="157">
        <v>9</v>
      </c>
      <c r="H944" s="157">
        <v>1</v>
      </c>
    </row>
    <row r="945" spans="7:8" x14ac:dyDescent="0.2">
      <c r="G945" s="157">
        <v>9</v>
      </c>
      <c r="H945" s="157">
        <v>2</v>
      </c>
    </row>
    <row r="946" spans="7:8" x14ac:dyDescent="0.2">
      <c r="G946" s="157">
        <v>22</v>
      </c>
      <c r="H946" s="157">
        <v>3</v>
      </c>
    </row>
    <row r="947" spans="7:8" x14ac:dyDescent="0.2">
      <c r="G947" s="157">
        <v>11</v>
      </c>
      <c r="H947" s="157">
        <v>1</v>
      </c>
    </row>
    <row r="948" spans="7:8" x14ac:dyDescent="0.2">
      <c r="G948" s="157">
        <v>22</v>
      </c>
      <c r="H948" s="157">
        <v>4</v>
      </c>
    </row>
    <row r="949" spans="7:8" x14ac:dyDescent="0.2">
      <c r="G949" s="157">
        <v>5</v>
      </c>
      <c r="H949" s="157">
        <v>1</v>
      </c>
    </row>
    <row r="950" spans="7:8" x14ac:dyDescent="0.2">
      <c r="G950" s="157">
        <v>11</v>
      </c>
      <c r="H950" s="157">
        <v>3</v>
      </c>
    </row>
    <row r="951" spans="7:8" x14ac:dyDescent="0.2">
      <c r="G951" s="157">
        <v>10</v>
      </c>
      <c r="H951" s="157">
        <v>2</v>
      </c>
    </row>
    <row r="952" spans="7:8" x14ac:dyDescent="0.2">
      <c r="G952" s="157">
        <v>16</v>
      </c>
      <c r="H952" s="157">
        <v>4</v>
      </c>
    </row>
    <row r="953" spans="7:8" x14ac:dyDescent="0.2">
      <c r="G953" s="157">
        <v>13</v>
      </c>
      <c r="H953" s="157">
        <v>4</v>
      </c>
    </row>
    <row r="954" spans="7:8" x14ac:dyDescent="0.2">
      <c r="G954" s="157">
        <v>5</v>
      </c>
      <c r="H954" s="157">
        <v>1</v>
      </c>
    </row>
    <row r="955" spans="7:8" x14ac:dyDescent="0.2">
      <c r="G955" s="157">
        <v>7</v>
      </c>
      <c r="H955" s="157">
        <v>2</v>
      </c>
    </row>
    <row r="956" spans="7:8" x14ac:dyDescent="0.2">
      <c r="G956" s="157">
        <v>12</v>
      </c>
      <c r="H956" s="157">
        <v>4</v>
      </c>
    </row>
    <row r="957" spans="7:8" x14ac:dyDescent="0.2">
      <c r="G957" s="157">
        <v>12</v>
      </c>
      <c r="H957" s="157">
        <v>2</v>
      </c>
    </row>
    <row r="958" spans="7:8" x14ac:dyDescent="0.2">
      <c r="G958" s="157">
        <v>5</v>
      </c>
      <c r="H958" s="157">
        <v>1</v>
      </c>
    </row>
    <row r="959" spans="7:8" x14ac:dyDescent="0.2">
      <c r="G959" s="157">
        <v>6</v>
      </c>
      <c r="H959" s="157">
        <v>1</v>
      </c>
    </row>
    <row r="960" spans="7:8" x14ac:dyDescent="0.2">
      <c r="G960" s="157">
        <v>5</v>
      </c>
      <c r="H960" s="157">
        <v>1</v>
      </c>
    </row>
    <row r="961" spans="7:8" x14ac:dyDescent="0.2">
      <c r="G961" s="157">
        <v>7</v>
      </c>
      <c r="H961" s="157">
        <v>2</v>
      </c>
    </row>
    <row r="962" spans="7:8" x14ac:dyDescent="0.2">
      <c r="G962" s="157">
        <v>15</v>
      </c>
      <c r="H962" s="157">
        <v>3</v>
      </c>
    </row>
    <row r="963" spans="7:8" x14ac:dyDescent="0.2">
      <c r="G963" s="157">
        <v>6</v>
      </c>
      <c r="H963" s="157">
        <v>1</v>
      </c>
    </row>
    <row r="964" spans="7:8" x14ac:dyDescent="0.2">
      <c r="G964" s="157">
        <v>12</v>
      </c>
      <c r="H964" s="157">
        <v>2</v>
      </c>
    </row>
    <row r="965" spans="7:8" x14ac:dyDescent="0.2">
      <c r="G965" s="157">
        <v>16</v>
      </c>
      <c r="H965" s="157">
        <v>3</v>
      </c>
    </row>
    <row r="966" spans="7:8" x14ac:dyDescent="0.2">
      <c r="G966" s="157">
        <v>14</v>
      </c>
      <c r="H966" s="157">
        <v>3</v>
      </c>
    </row>
    <row r="967" spans="7:8" x14ac:dyDescent="0.2">
      <c r="G967" s="157">
        <v>5</v>
      </c>
      <c r="H967" s="157">
        <v>1</v>
      </c>
    </row>
    <row r="968" spans="7:8" x14ac:dyDescent="0.2">
      <c r="G968" s="157">
        <v>17</v>
      </c>
      <c r="H968" s="157">
        <v>3</v>
      </c>
    </row>
    <row r="969" spans="7:8" x14ac:dyDescent="0.2">
      <c r="G969" s="157">
        <v>16</v>
      </c>
      <c r="H969" s="157">
        <v>4</v>
      </c>
    </row>
    <row r="970" spans="7:8" x14ac:dyDescent="0.2">
      <c r="G970" s="157">
        <v>10</v>
      </c>
      <c r="H970" s="157">
        <v>3</v>
      </c>
    </row>
    <row r="971" spans="7:8" x14ac:dyDescent="0.2">
      <c r="G971" s="157">
        <v>18</v>
      </c>
      <c r="H971" s="157">
        <v>3</v>
      </c>
    </row>
    <row r="972" spans="7:8" x14ac:dyDescent="0.2">
      <c r="G972" s="157">
        <v>8</v>
      </c>
      <c r="H972" s="157">
        <v>1</v>
      </c>
    </row>
    <row r="973" spans="7:8" x14ac:dyDescent="0.2">
      <c r="G973" s="157">
        <v>19</v>
      </c>
      <c r="H973" s="157">
        <v>4</v>
      </c>
    </row>
    <row r="974" spans="7:8" x14ac:dyDescent="0.2">
      <c r="G974" s="157">
        <v>7</v>
      </c>
      <c r="H974" s="157">
        <v>1</v>
      </c>
    </row>
    <row r="975" spans="7:8" x14ac:dyDescent="0.2">
      <c r="G975" s="157">
        <v>8</v>
      </c>
      <c r="H975" s="157">
        <v>2</v>
      </c>
    </row>
    <row r="976" spans="7:8" x14ac:dyDescent="0.2">
      <c r="G976" s="157">
        <v>6</v>
      </c>
      <c r="H976" s="157">
        <v>1</v>
      </c>
    </row>
    <row r="977" spans="7:8" x14ac:dyDescent="0.2">
      <c r="G977" s="157">
        <v>10</v>
      </c>
      <c r="H977" s="157">
        <v>3</v>
      </c>
    </row>
    <row r="978" spans="7:8" x14ac:dyDescent="0.2">
      <c r="G978" s="157">
        <v>7</v>
      </c>
      <c r="H978" s="157">
        <v>1</v>
      </c>
    </row>
    <row r="979" spans="7:8" x14ac:dyDescent="0.2">
      <c r="G979" s="157">
        <v>11</v>
      </c>
      <c r="H979" s="157">
        <v>2</v>
      </c>
    </row>
    <row r="980" spans="7:8" x14ac:dyDescent="0.2">
      <c r="G980" s="157">
        <v>15</v>
      </c>
      <c r="H980" s="157">
        <v>3</v>
      </c>
    </row>
    <row r="981" spans="7:8" x14ac:dyDescent="0.2">
      <c r="G981" s="157">
        <v>18</v>
      </c>
      <c r="H981" s="157">
        <v>3</v>
      </c>
    </row>
    <row r="982" spans="7:8" x14ac:dyDescent="0.2">
      <c r="G982" s="157">
        <v>16</v>
      </c>
      <c r="H982" s="157">
        <v>4</v>
      </c>
    </row>
    <row r="983" spans="7:8" x14ac:dyDescent="0.2">
      <c r="G983" s="157">
        <v>8</v>
      </c>
      <c r="H983" s="157">
        <v>3</v>
      </c>
    </row>
    <row r="984" spans="7:8" x14ac:dyDescent="0.2">
      <c r="G984" s="157">
        <v>7</v>
      </c>
      <c r="H984" s="157">
        <v>1</v>
      </c>
    </row>
    <row r="985" spans="7:8" x14ac:dyDescent="0.2">
      <c r="G985" s="157">
        <v>14</v>
      </c>
      <c r="H985" s="157">
        <v>2</v>
      </c>
    </row>
    <row r="986" spans="7:8" x14ac:dyDescent="0.2">
      <c r="G986" s="157">
        <v>10</v>
      </c>
      <c r="H986" s="157">
        <v>2</v>
      </c>
    </row>
    <row r="987" spans="7:8" x14ac:dyDescent="0.2">
      <c r="G987" s="157">
        <v>21</v>
      </c>
      <c r="H987" s="157">
        <v>4</v>
      </c>
    </row>
    <row r="988" spans="7:8" x14ac:dyDescent="0.2">
      <c r="G988" s="157">
        <v>11</v>
      </c>
      <c r="H988" s="157">
        <v>2</v>
      </c>
    </row>
    <row r="989" spans="7:8" x14ac:dyDescent="0.2">
      <c r="G989" s="157">
        <v>14</v>
      </c>
      <c r="H989" s="157">
        <v>4</v>
      </c>
    </row>
    <row r="990" spans="7:8" x14ac:dyDescent="0.2">
      <c r="G990" s="157">
        <v>9</v>
      </c>
      <c r="H990" s="157">
        <v>1</v>
      </c>
    </row>
    <row r="991" spans="7:8" x14ac:dyDescent="0.2">
      <c r="G991" s="157">
        <v>11</v>
      </c>
      <c r="H991" s="157">
        <v>3</v>
      </c>
    </row>
    <row r="992" spans="7:8" x14ac:dyDescent="0.2">
      <c r="G992" s="157">
        <v>9</v>
      </c>
      <c r="H992" s="157">
        <v>2</v>
      </c>
    </row>
    <row r="993" spans="7:8" x14ac:dyDescent="0.2">
      <c r="G993" s="157">
        <v>12</v>
      </c>
      <c r="H993" s="157">
        <v>3</v>
      </c>
    </row>
    <row r="994" spans="7:8" x14ac:dyDescent="0.2">
      <c r="G994" s="157">
        <v>12</v>
      </c>
      <c r="H994" s="157">
        <v>2</v>
      </c>
    </row>
    <row r="995" spans="7:8" x14ac:dyDescent="0.2">
      <c r="G995" s="157">
        <v>10</v>
      </c>
      <c r="H995" s="157">
        <v>2</v>
      </c>
    </row>
    <row r="996" spans="7:8" x14ac:dyDescent="0.2">
      <c r="G996" s="157">
        <v>20</v>
      </c>
      <c r="H996" s="157">
        <v>3</v>
      </c>
    </row>
    <row r="997" spans="7:8" x14ac:dyDescent="0.2">
      <c r="G997" s="157">
        <v>15</v>
      </c>
      <c r="H997" s="157">
        <v>3</v>
      </c>
    </row>
    <row r="998" spans="7:8" x14ac:dyDescent="0.2">
      <c r="G998" s="157">
        <v>6</v>
      </c>
      <c r="H998" s="157">
        <v>1</v>
      </c>
    </row>
    <row r="999" spans="7:8" x14ac:dyDescent="0.2">
      <c r="G999" s="157">
        <v>13</v>
      </c>
      <c r="H999" s="157">
        <v>2</v>
      </c>
    </row>
    <row r="1000" spans="7:8" x14ac:dyDescent="0.2">
      <c r="G1000" s="157">
        <v>12</v>
      </c>
      <c r="H1000" s="157">
        <v>3</v>
      </c>
    </row>
    <row r="1001" spans="7:8" x14ac:dyDescent="0.2">
      <c r="G1001" s="157">
        <v>8</v>
      </c>
      <c r="H1001" s="157">
        <v>2</v>
      </c>
    </row>
    <row r="1002" spans="7:8" x14ac:dyDescent="0.2">
      <c r="G1002" s="157">
        <v>14</v>
      </c>
      <c r="H1002" s="157">
        <v>3</v>
      </c>
    </row>
    <row r="1003" spans="7:8" x14ac:dyDescent="0.2">
      <c r="G1003" s="157">
        <v>8</v>
      </c>
      <c r="H1003" s="157">
        <v>1</v>
      </c>
    </row>
    <row r="1004" spans="7:8" x14ac:dyDescent="0.2">
      <c r="G1004" s="157">
        <v>12</v>
      </c>
      <c r="H1004" s="157">
        <v>3</v>
      </c>
    </row>
    <row r="1005" spans="7:8" x14ac:dyDescent="0.2">
      <c r="G1005" s="157">
        <v>6</v>
      </c>
      <c r="H1005" s="157">
        <v>1</v>
      </c>
    </row>
    <row r="1006" spans="7:8" x14ac:dyDescent="0.2">
      <c r="G1006" s="157">
        <v>7</v>
      </c>
      <c r="H1006" s="157">
        <v>1</v>
      </c>
    </row>
    <row r="1007" spans="7:8" x14ac:dyDescent="0.2">
      <c r="G1007" s="157">
        <v>12</v>
      </c>
      <c r="H1007" s="157">
        <v>3</v>
      </c>
    </row>
    <row r="1008" spans="7:8" x14ac:dyDescent="0.2">
      <c r="G1008" s="157">
        <v>7</v>
      </c>
      <c r="H1008" s="157">
        <v>1</v>
      </c>
    </row>
    <row r="1009" spans="7:8" x14ac:dyDescent="0.2">
      <c r="G1009" s="157">
        <v>16</v>
      </c>
      <c r="H1009" s="157">
        <v>4</v>
      </c>
    </row>
    <row r="1010" spans="7:8" x14ac:dyDescent="0.2">
      <c r="G1010" s="157">
        <v>5</v>
      </c>
      <c r="H1010" s="157">
        <v>1</v>
      </c>
    </row>
    <row r="1011" spans="7:8" x14ac:dyDescent="0.2">
      <c r="G1011" s="157">
        <v>6</v>
      </c>
      <c r="H1011" s="157">
        <v>1</v>
      </c>
    </row>
    <row r="1012" spans="7:8" x14ac:dyDescent="0.2">
      <c r="G1012" s="157">
        <v>11</v>
      </c>
      <c r="H1012" s="157">
        <v>1</v>
      </c>
    </row>
    <row r="1013" spans="7:8" x14ac:dyDescent="0.2">
      <c r="G1013" s="157">
        <v>10</v>
      </c>
      <c r="H1013" s="157">
        <v>2</v>
      </c>
    </row>
    <row r="1014" spans="7:8" x14ac:dyDescent="0.2">
      <c r="G1014" s="157">
        <v>5</v>
      </c>
      <c r="H1014" s="157">
        <v>1</v>
      </c>
    </row>
    <row r="1015" spans="7:8" x14ac:dyDescent="0.2">
      <c r="G1015" s="157">
        <v>8</v>
      </c>
      <c r="H1015" s="157">
        <v>1</v>
      </c>
    </row>
    <row r="1016" spans="7:8" x14ac:dyDescent="0.2">
      <c r="G1016" s="157">
        <v>8</v>
      </c>
      <c r="H1016" s="157">
        <v>2</v>
      </c>
    </row>
    <row r="1017" spans="7:8" x14ac:dyDescent="0.2">
      <c r="G1017" s="157">
        <v>10</v>
      </c>
      <c r="H1017" s="157">
        <v>2</v>
      </c>
    </row>
    <row r="1018" spans="7:8" x14ac:dyDescent="0.2">
      <c r="G1018" s="157">
        <v>17</v>
      </c>
      <c r="H1018" s="157">
        <v>4</v>
      </c>
    </row>
    <row r="1019" spans="7:8" x14ac:dyDescent="0.2">
      <c r="G1019" s="157">
        <v>16</v>
      </c>
      <c r="H1019" s="157">
        <v>4</v>
      </c>
    </row>
    <row r="1020" spans="7:8" x14ac:dyDescent="0.2">
      <c r="G1020" s="157">
        <v>12</v>
      </c>
      <c r="H1020" s="157">
        <v>3</v>
      </c>
    </row>
    <row r="1021" spans="7:8" x14ac:dyDescent="0.2">
      <c r="G1021" s="157">
        <v>12</v>
      </c>
      <c r="H1021" s="157">
        <v>3</v>
      </c>
    </row>
    <row r="1022" spans="7:8" x14ac:dyDescent="0.2">
      <c r="G1022" s="157">
        <v>5</v>
      </c>
      <c r="H1022" s="157">
        <v>1</v>
      </c>
    </row>
    <row r="1023" spans="7:8" x14ac:dyDescent="0.2">
      <c r="G1023" s="157">
        <v>10</v>
      </c>
      <c r="H1023" s="157">
        <v>3</v>
      </c>
    </row>
    <row r="1024" spans="7:8" x14ac:dyDescent="0.2">
      <c r="G1024" s="157">
        <v>8</v>
      </c>
      <c r="H1024" s="157">
        <v>3</v>
      </c>
    </row>
    <row r="1025" spans="7:8" x14ac:dyDescent="0.2">
      <c r="G1025" s="157">
        <v>7</v>
      </c>
      <c r="H1025" s="157">
        <v>2</v>
      </c>
    </row>
    <row r="1026" spans="7:8" x14ac:dyDescent="0.2">
      <c r="G1026" s="157">
        <v>7</v>
      </c>
      <c r="H1026" s="157">
        <v>2</v>
      </c>
    </row>
    <row r="1027" spans="7:8" x14ac:dyDescent="0.2">
      <c r="G1027" s="157">
        <v>7</v>
      </c>
      <c r="H1027" s="157">
        <v>2</v>
      </c>
    </row>
    <row r="1028" spans="7:8" x14ac:dyDescent="0.2">
      <c r="G1028" s="157">
        <v>9</v>
      </c>
      <c r="H1028" s="157">
        <v>2</v>
      </c>
    </row>
    <row r="1029" spans="7:8" x14ac:dyDescent="0.2">
      <c r="G1029" s="157">
        <v>9</v>
      </c>
      <c r="H1029" s="157">
        <v>2</v>
      </c>
    </row>
    <row r="1030" spans="7:8" x14ac:dyDescent="0.2">
      <c r="G1030" s="157">
        <v>12</v>
      </c>
      <c r="H1030" s="157">
        <v>3</v>
      </c>
    </row>
    <row r="1031" spans="7:8" x14ac:dyDescent="0.2">
      <c r="G1031" s="157">
        <v>18</v>
      </c>
      <c r="H1031" s="157">
        <v>4</v>
      </c>
    </row>
    <row r="1032" spans="7:8" x14ac:dyDescent="0.2">
      <c r="G1032" s="157">
        <v>10</v>
      </c>
      <c r="H1032" s="157">
        <v>3</v>
      </c>
    </row>
    <row r="1033" spans="7:8" x14ac:dyDescent="0.2">
      <c r="G1033" s="157">
        <v>7</v>
      </c>
      <c r="H1033" s="157">
        <v>1</v>
      </c>
    </row>
    <row r="1034" spans="7:8" x14ac:dyDescent="0.2">
      <c r="G1034" s="157">
        <v>11</v>
      </c>
      <c r="H1034" s="157">
        <v>3</v>
      </c>
    </row>
    <row r="1035" spans="7:8" x14ac:dyDescent="0.2">
      <c r="G1035" s="157">
        <v>13</v>
      </c>
      <c r="H1035" s="157">
        <v>4</v>
      </c>
    </row>
    <row r="1036" spans="7:8" x14ac:dyDescent="0.2">
      <c r="G1036" s="157">
        <v>11</v>
      </c>
      <c r="H1036" s="157">
        <v>2</v>
      </c>
    </row>
    <row r="1037" spans="7:8" x14ac:dyDescent="0.2">
      <c r="G1037" s="157">
        <v>8</v>
      </c>
      <c r="H1037" s="157">
        <v>3</v>
      </c>
    </row>
    <row r="1038" spans="7:8" x14ac:dyDescent="0.2">
      <c r="G1038" s="157">
        <v>10</v>
      </c>
      <c r="H1038" s="157">
        <v>3</v>
      </c>
    </row>
    <row r="1039" spans="7:8" x14ac:dyDescent="0.2">
      <c r="G1039" s="157">
        <v>11</v>
      </c>
      <c r="H1039" s="157">
        <v>3</v>
      </c>
    </row>
    <row r="1040" spans="7:8" x14ac:dyDescent="0.2">
      <c r="G1040" s="157">
        <v>10</v>
      </c>
      <c r="H1040" s="157">
        <v>3</v>
      </c>
    </row>
    <row r="1041" spans="7:8" x14ac:dyDescent="0.2">
      <c r="G1041" s="157">
        <v>10</v>
      </c>
      <c r="H1041" s="157">
        <v>3</v>
      </c>
    </row>
    <row r="1042" spans="7:8" x14ac:dyDescent="0.2">
      <c r="G1042" s="157">
        <v>14</v>
      </c>
      <c r="H1042" s="157">
        <v>1</v>
      </c>
    </row>
    <row r="1043" spans="7:8" x14ac:dyDescent="0.2">
      <c r="G1043" s="157">
        <v>23</v>
      </c>
      <c r="H1043" s="157">
        <v>3</v>
      </c>
    </row>
    <row r="1044" spans="7:8" x14ac:dyDescent="0.2">
      <c r="G1044" s="157">
        <v>7</v>
      </c>
      <c r="H1044" s="157">
        <v>1</v>
      </c>
    </row>
    <row r="1045" spans="7:8" x14ac:dyDescent="0.2">
      <c r="G1045" s="157">
        <v>16</v>
      </c>
      <c r="H1045" s="157">
        <v>3</v>
      </c>
    </row>
    <row r="1046" spans="7:8" x14ac:dyDescent="0.2">
      <c r="G1046" s="157">
        <v>11</v>
      </c>
      <c r="H1046" s="157">
        <v>3</v>
      </c>
    </row>
    <row r="1047" spans="7:8" x14ac:dyDescent="0.2">
      <c r="G1047" s="157">
        <v>14</v>
      </c>
      <c r="H1047" s="157">
        <v>3</v>
      </c>
    </row>
    <row r="1048" spans="7:8" x14ac:dyDescent="0.2">
      <c r="G1048" s="157">
        <v>13</v>
      </c>
      <c r="H1048" s="157">
        <v>3</v>
      </c>
    </row>
    <row r="1049" spans="7:8" x14ac:dyDescent="0.2">
      <c r="G1049" s="157">
        <v>12</v>
      </c>
      <c r="H1049" s="157">
        <v>4</v>
      </c>
    </row>
    <row r="1050" spans="7:8" x14ac:dyDescent="0.2">
      <c r="G1050" s="157">
        <v>9</v>
      </c>
      <c r="H1050" s="157">
        <v>2</v>
      </c>
    </row>
    <row r="1051" spans="7:8" x14ac:dyDescent="0.2">
      <c r="G1051" s="157">
        <v>12</v>
      </c>
      <c r="H1051" s="157">
        <v>4</v>
      </c>
    </row>
    <row r="1052" spans="7:8" x14ac:dyDescent="0.2">
      <c r="G1052" s="157">
        <v>10</v>
      </c>
      <c r="H1052" s="157">
        <v>3</v>
      </c>
    </row>
    <row r="1053" spans="7:8" x14ac:dyDescent="0.2">
      <c r="G1053" s="157">
        <v>16</v>
      </c>
      <c r="H1053" s="157">
        <v>4</v>
      </c>
    </row>
    <row r="1054" spans="7:8" x14ac:dyDescent="0.2">
      <c r="G1054" s="157">
        <v>9</v>
      </c>
      <c r="H1054" s="157">
        <v>3</v>
      </c>
    </row>
    <row r="1055" spans="7:8" x14ac:dyDescent="0.2">
      <c r="G1055" s="157">
        <v>12</v>
      </c>
      <c r="H1055" s="157">
        <v>3</v>
      </c>
    </row>
    <row r="1056" spans="7:8" x14ac:dyDescent="0.2">
      <c r="G1056" s="157">
        <v>13</v>
      </c>
      <c r="H1056" s="157">
        <v>3</v>
      </c>
    </row>
    <row r="1057" spans="7:8" x14ac:dyDescent="0.2">
      <c r="G1057" s="157">
        <v>6</v>
      </c>
      <c r="H1057" s="157">
        <v>1</v>
      </c>
    </row>
    <row r="1058" spans="7:8" x14ac:dyDescent="0.2">
      <c r="G1058" s="157">
        <v>8</v>
      </c>
      <c r="H1058" s="157">
        <v>2</v>
      </c>
    </row>
    <row r="1059" spans="7:8" x14ac:dyDescent="0.2">
      <c r="G1059" s="157">
        <v>20</v>
      </c>
      <c r="H1059" s="157">
        <v>3</v>
      </c>
    </row>
    <row r="1060" spans="7:8" x14ac:dyDescent="0.2">
      <c r="G1060" s="157">
        <v>8</v>
      </c>
      <c r="H1060" s="157">
        <v>1</v>
      </c>
    </row>
    <row r="1061" spans="7:8" x14ac:dyDescent="0.2">
      <c r="G1061" s="157">
        <v>14</v>
      </c>
      <c r="H1061" s="157">
        <v>3</v>
      </c>
    </row>
    <row r="1062" spans="7:8" x14ac:dyDescent="0.2">
      <c r="G1062" s="157">
        <v>8</v>
      </c>
      <c r="H1062" s="157">
        <v>2</v>
      </c>
    </row>
    <row r="1063" spans="7:8" x14ac:dyDescent="0.2">
      <c r="G1063" s="157">
        <v>11</v>
      </c>
      <c r="H1063" s="157">
        <v>3</v>
      </c>
    </row>
    <row r="1064" spans="7:8" x14ac:dyDescent="0.2">
      <c r="G1064" s="157">
        <v>13</v>
      </c>
      <c r="H1064" s="157">
        <v>3</v>
      </c>
    </row>
    <row r="1065" spans="7:8" x14ac:dyDescent="0.2">
      <c r="G1065" s="157">
        <v>12</v>
      </c>
      <c r="H1065" s="157">
        <v>4</v>
      </c>
    </row>
    <row r="1066" spans="7:8" x14ac:dyDescent="0.2">
      <c r="G1066" s="157">
        <v>18</v>
      </c>
      <c r="H1066" s="157">
        <v>4</v>
      </c>
    </row>
    <row r="1067" spans="7:8" x14ac:dyDescent="0.2">
      <c r="G1067" s="157">
        <v>12</v>
      </c>
      <c r="H1067" s="157">
        <v>3</v>
      </c>
    </row>
    <row r="1068" spans="7:8" x14ac:dyDescent="0.2">
      <c r="G1068" s="157">
        <v>6</v>
      </c>
      <c r="H1068" s="157">
        <v>2</v>
      </c>
    </row>
    <row r="1069" spans="7:8" x14ac:dyDescent="0.2">
      <c r="G1069" s="157">
        <v>8</v>
      </c>
      <c r="H1069" s="157">
        <v>2</v>
      </c>
    </row>
    <row r="1070" spans="7:8" x14ac:dyDescent="0.2">
      <c r="G1070" s="157">
        <v>9</v>
      </c>
      <c r="H1070" s="157">
        <v>3</v>
      </c>
    </row>
    <row r="1071" spans="7:8" x14ac:dyDescent="0.2">
      <c r="G1071" s="157">
        <v>10</v>
      </c>
      <c r="H1071" s="157">
        <v>3</v>
      </c>
    </row>
    <row r="1072" spans="7:8" x14ac:dyDescent="0.2">
      <c r="G1072" s="157">
        <v>7</v>
      </c>
      <c r="H1072" s="157">
        <v>1</v>
      </c>
    </row>
    <row r="1073" spans="7:8" x14ac:dyDescent="0.2">
      <c r="G1073" s="157">
        <v>5</v>
      </c>
      <c r="H1073" s="157">
        <v>1</v>
      </c>
    </row>
    <row r="1074" spans="7:8" x14ac:dyDescent="0.2">
      <c r="G1074" s="157">
        <v>7</v>
      </c>
      <c r="H1074" s="157">
        <v>2</v>
      </c>
    </row>
    <row r="1075" spans="7:8" x14ac:dyDescent="0.2">
      <c r="G1075" s="157">
        <v>24</v>
      </c>
      <c r="H1075" s="157">
        <v>4</v>
      </c>
    </row>
    <row r="1076" spans="7:8" x14ac:dyDescent="0.2">
      <c r="G1076" s="157">
        <v>8</v>
      </c>
      <c r="H1076" s="157">
        <v>2</v>
      </c>
    </row>
    <row r="1077" spans="7:8" x14ac:dyDescent="0.2">
      <c r="G1077" s="157">
        <v>24</v>
      </c>
      <c r="H1077" s="157">
        <v>4</v>
      </c>
    </row>
    <row r="1078" spans="7:8" x14ac:dyDescent="0.2">
      <c r="G1078" s="157">
        <v>18</v>
      </c>
      <c r="H1078" s="157">
        <v>3</v>
      </c>
    </row>
    <row r="1079" spans="7:8" x14ac:dyDescent="0.2">
      <c r="G1079" s="157">
        <v>21</v>
      </c>
      <c r="H1079" s="157">
        <v>4</v>
      </c>
    </row>
    <row r="1080" spans="7:8" x14ac:dyDescent="0.2">
      <c r="G1080" s="157">
        <v>13</v>
      </c>
      <c r="H1080" s="157">
        <v>3</v>
      </c>
    </row>
    <row r="1081" spans="7:8" x14ac:dyDescent="0.2">
      <c r="G1081" s="157">
        <v>18</v>
      </c>
      <c r="H1081" s="157">
        <v>3</v>
      </c>
    </row>
    <row r="1082" spans="7:8" x14ac:dyDescent="0.2">
      <c r="G1082" s="157">
        <v>12</v>
      </c>
      <c r="H1082" s="157">
        <v>2</v>
      </c>
    </row>
    <row r="1083" spans="7:8" x14ac:dyDescent="0.2">
      <c r="G1083" s="157">
        <v>7</v>
      </c>
      <c r="H1083" s="157">
        <v>1</v>
      </c>
    </row>
    <row r="1084" spans="7:8" x14ac:dyDescent="0.2">
      <c r="G1084" s="157">
        <v>7</v>
      </c>
      <c r="H1084" s="157">
        <v>2</v>
      </c>
    </row>
    <row r="1085" spans="7:8" x14ac:dyDescent="0.2">
      <c r="G1085" s="157">
        <v>12</v>
      </c>
      <c r="H1085" s="157">
        <v>2</v>
      </c>
    </row>
    <row r="1086" spans="7:8" x14ac:dyDescent="0.2">
      <c r="G1086" s="157">
        <v>12</v>
      </c>
      <c r="H1086" s="157">
        <v>4</v>
      </c>
    </row>
    <row r="1087" spans="7:8" x14ac:dyDescent="0.2">
      <c r="G1087" s="157">
        <v>9</v>
      </c>
      <c r="H1087" s="157">
        <v>2</v>
      </c>
    </row>
    <row r="1088" spans="7:8" x14ac:dyDescent="0.2">
      <c r="G1088" s="157">
        <v>5</v>
      </c>
      <c r="H1088" s="157">
        <v>1</v>
      </c>
    </row>
    <row r="1089" spans="7:8" x14ac:dyDescent="0.2">
      <c r="G1089" s="157">
        <v>10</v>
      </c>
      <c r="H1089" s="157">
        <v>3</v>
      </c>
    </row>
    <row r="1090" spans="7:8" x14ac:dyDescent="0.2">
      <c r="G1090" s="157">
        <v>11</v>
      </c>
      <c r="H1090" s="157">
        <v>3</v>
      </c>
    </row>
    <row r="1091" spans="7:8" x14ac:dyDescent="0.2">
      <c r="G1091" s="157">
        <v>7</v>
      </c>
      <c r="H1091" s="157">
        <v>2</v>
      </c>
    </row>
    <row r="1092" spans="7:8" x14ac:dyDescent="0.2">
      <c r="G1092" s="157">
        <v>10</v>
      </c>
      <c r="H1092" s="157">
        <v>3</v>
      </c>
    </row>
    <row r="1093" spans="7:8" x14ac:dyDescent="0.2">
      <c r="G1093" s="157">
        <v>8</v>
      </c>
      <c r="H1093" s="157">
        <v>2</v>
      </c>
    </row>
    <row r="1094" spans="7:8" x14ac:dyDescent="0.2">
      <c r="G1094" s="157">
        <v>6</v>
      </c>
      <c r="H1094" s="157">
        <v>2</v>
      </c>
    </row>
    <row r="1095" spans="7:8" x14ac:dyDescent="0.2">
      <c r="G1095" s="157">
        <v>6</v>
      </c>
      <c r="H1095" s="157">
        <v>1</v>
      </c>
    </row>
    <row r="1096" spans="7:8" x14ac:dyDescent="0.2">
      <c r="G1096" s="157">
        <v>12</v>
      </c>
      <c r="H1096" s="157">
        <v>3</v>
      </c>
    </row>
    <row r="1097" spans="7:8" x14ac:dyDescent="0.2">
      <c r="G1097" s="157">
        <v>9</v>
      </c>
      <c r="H1097" s="157">
        <v>1</v>
      </c>
    </row>
    <row r="1098" spans="7:8" x14ac:dyDescent="0.2">
      <c r="G1098" s="157">
        <v>6</v>
      </c>
      <c r="H1098" s="157">
        <v>1</v>
      </c>
    </row>
    <row r="1099" spans="7:8" x14ac:dyDescent="0.2">
      <c r="G1099" s="157">
        <v>6</v>
      </c>
      <c r="H1099" s="157">
        <v>1</v>
      </c>
    </row>
    <row r="1100" spans="7:8" x14ac:dyDescent="0.2">
      <c r="G1100" s="157">
        <v>8</v>
      </c>
      <c r="H1100" s="157">
        <v>1</v>
      </c>
    </row>
    <row r="1101" spans="7:8" x14ac:dyDescent="0.2">
      <c r="G1101" s="157">
        <v>18</v>
      </c>
      <c r="H1101" s="157">
        <v>4</v>
      </c>
    </row>
    <row r="1102" spans="7:8" x14ac:dyDescent="0.2">
      <c r="G1102" s="157">
        <v>12</v>
      </c>
      <c r="H1102" s="157">
        <v>3</v>
      </c>
    </row>
    <row r="1103" spans="7:8" x14ac:dyDescent="0.2">
      <c r="G1103" s="157">
        <v>11</v>
      </c>
      <c r="H1103" s="157">
        <v>3</v>
      </c>
    </row>
    <row r="1104" spans="7:8" x14ac:dyDescent="0.2">
      <c r="G1104" s="157">
        <v>8</v>
      </c>
      <c r="H1104" s="157">
        <v>2</v>
      </c>
    </row>
    <row r="1105" spans="7:8" x14ac:dyDescent="0.2">
      <c r="G1105" s="157">
        <v>16</v>
      </c>
      <c r="H1105" s="157">
        <v>4</v>
      </c>
    </row>
    <row r="1106" spans="7:8" x14ac:dyDescent="0.2">
      <c r="G1106" s="157">
        <v>12</v>
      </c>
      <c r="H1106" s="157">
        <v>3</v>
      </c>
    </row>
    <row r="1107" spans="7:8" x14ac:dyDescent="0.2">
      <c r="G1107" s="157">
        <v>8</v>
      </c>
      <c r="H1107" s="157">
        <v>3</v>
      </c>
    </row>
    <row r="1108" spans="7:8" x14ac:dyDescent="0.2">
      <c r="G1108" s="157">
        <v>9</v>
      </c>
      <c r="H1108" s="157">
        <v>3</v>
      </c>
    </row>
    <row r="1109" spans="7:8" x14ac:dyDescent="0.2">
      <c r="G1109" s="157">
        <v>13</v>
      </c>
      <c r="H1109" s="157">
        <v>3</v>
      </c>
    </row>
    <row r="1110" spans="7:8" x14ac:dyDescent="0.2">
      <c r="G1110" s="157">
        <v>14</v>
      </c>
      <c r="H1110" s="157">
        <v>4</v>
      </c>
    </row>
    <row r="1111" spans="7:8" x14ac:dyDescent="0.2">
      <c r="G1111" s="157">
        <v>10</v>
      </c>
      <c r="H1111" s="157">
        <v>3</v>
      </c>
    </row>
    <row r="1112" spans="7:8" x14ac:dyDescent="0.2">
      <c r="G1112" s="157">
        <v>8</v>
      </c>
      <c r="H1112" s="157">
        <v>2</v>
      </c>
    </row>
    <row r="1113" spans="7:8" x14ac:dyDescent="0.2">
      <c r="G1113" s="157">
        <v>7</v>
      </c>
      <c r="H1113" s="157">
        <v>2</v>
      </c>
    </row>
    <row r="1114" spans="7:8" x14ac:dyDescent="0.2">
      <c r="G1114" s="157">
        <v>15</v>
      </c>
      <c r="H1114" s="157">
        <v>2</v>
      </c>
    </row>
    <row r="1115" spans="7:8" x14ac:dyDescent="0.2">
      <c r="G1115" s="157">
        <v>10</v>
      </c>
      <c r="H1115" s="157">
        <v>3</v>
      </c>
    </row>
    <row r="1116" spans="7:8" x14ac:dyDescent="0.2">
      <c r="G1116" s="157">
        <v>7</v>
      </c>
      <c r="H1116" s="157">
        <v>2</v>
      </c>
    </row>
    <row r="1117" spans="7:8" x14ac:dyDescent="0.2">
      <c r="G1117" s="157">
        <v>13</v>
      </c>
      <c r="H1117" s="157">
        <v>3</v>
      </c>
    </row>
    <row r="1118" spans="7:8" x14ac:dyDescent="0.2">
      <c r="G1118" s="157">
        <v>16</v>
      </c>
      <c r="H1118" s="157">
        <v>3</v>
      </c>
    </row>
    <row r="1119" spans="7:8" x14ac:dyDescent="0.2">
      <c r="G1119" s="157">
        <v>10</v>
      </c>
      <c r="H1119" s="157">
        <v>3</v>
      </c>
    </row>
    <row r="1120" spans="7:8" x14ac:dyDescent="0.2">
      <c r="G1120" s="157">
        <v>13</v>
      </c>
      <c r="H1120" s="157">
        <v>3</v>
      </c>
    </row>
    <row r="1121" spans="7:8" x14ac:dyDescent="0.2">
      <c r="G1121" s="157">
        <v>14</v>
      </c>
      <c r="H1121" s="157">
        <v>4</v>
      </c>
    </row>
    <row r="1122" spans="7:8" x14ac:dyDescent="0.2">
      <c r="G1122" s="157">
        <v>15</v>
      </c>
      <c r="H1122" s="157">
        <v>3</v>
      </c>
    </row>
    <row r="1123" spans="7:8" x14ac:dyDescent="0.2">
      <c r="G1123" s="157">
        <v>5</v>
      </c>
      <c r="H1123" s="157">
        <v>1</v>
      </c>
    </row>
    <row r="1124" spans="7:8" x14ac:dyDescent="0.2">
      <c r="G1124" s="157">
        <v>10</v>
      </c>
      <c r="H1124" s="157">
        <v>3</v>
      </c>
    </row>
    <row r="1125" spans="7:8" x14ac:dyDescent="0.2">
      <c r="G1125" s="157">
        <v>6</v>
      </c>
      <c r="H1125" s="157">
        <v>2</v>
      </c>
    </row>
    <row r="1126" spans="7:8" x14ac:dyDescent="0.2">
      <c r="G1126" s="157">
        <v>7</v>
      </c>
      <c r="H1126" s="157">
        <v>2</v>
      </c>
    </row>
    <row r="1127" spans="7:8" x14ac:dyDescent="0.2">
      <c r="G1127" s="157">
        <v>12</v>
      </c>
      <c r="H1127" s="157">
        <v>3</v>
      </c>
    </row>
    <row r="1128" spans="7:8" x14ac:dyDescent="0.2">
      <c r="G1128" s="157">
        <v>10</v>
      </c>
      <c r="H1128" s="157">
        <v>3</v>
      </c>
    </row>
    <row r="1129" spans="7:8" x14ac:dyDescent="0.2">
      <c r="G1129" s="157">
        <v>6</v>
      </c>
      <c r="H1129" s="157">
        <v>1</v>
      </c>
    </row>
    <row r="1130" spans="7:8" x14ac:dyDescent="0.2">
      <c r="G1130" s="157">
        <v>13</v>
      </c>
      <c r="H1130" s="157">
        <v>4</v>
      </c>
    </row>
    <row r="1131" spans="7:8" x14ac:dyDescent="0.2">
      <c r="G1131" s="157">
        <v>7</v>
      </c>
      <c r="H1131" s="157">
        <v>1</v>
      </c>
    </row>
    <row r="1132" spans="7:8" x14ac:dyDescent="0.2">
      <c r="G1132" s="157">
        <v>9</v>
      </c>
      <c r="H1132" s="157">
        <v>2</v>
      </c>
    </row>
    <row r="1133" spans="7:8" x14ac:dyDescent="0.2">
      <c r="G1133" s="157">
        <v>10</v>
      </c>
      <c r="H1133" s="157">
        <v>3</v>
      </c>
    </row>
    <row r="1134" spans="7:8" x14ac:dyDescent="0.2">
      <c r="G1134" s="157">
        <v>6</v>
      </c>
      <c r="H1134" s="157">
        <v>2</v>
      </c>
    </row>
    <row r="1135" spans="7:8" x14ac:dyDescent="0.2">
      <c r="G1135" s="157">
        <v>9</v>
      </c>
      <c r="H1135" s="157">
        <v>3</v>
      </c>
    </row>
    <row r="1136" spans="7:8" x14ac:dyDescent="0.2">
      <c r="G1136" s="157">
        <v>8</v>
      </c>
      <c r="H1136" s="157">
        <v>3</v>
      </c>
    </row>
    <row r="1137" spans="7:8" x14ac:dyDescent="0.2">
      <c r="G1137" s="157">
        <v>17</v>
      </c>
      <c r="H1137" s="157">
        <v>4</v>
      </c>
    </row>
    <row r="1138" spans="7:8" x14ac:dyDescent="0.2">
      <c r="G1138" s="157">
        <v>9</v>
      </c>
      <c r="H1138" s="157">
        <v>2</v>
      </c>
    </row>
    <row r="1139" spans="7:8" x14ac:dyDescent="0.2">
      <c r="G1139" s="157">
        <v>10</v>
      </c>
      <c r="H1139" s="157">
        <v>3</v>
      </c>
    </row>
    <row r="1140" spans="7:8" x14ac:dyDescent="0.2">
      <c r="G1140" s="157">
        <v>12</v>
      </c>
      <c r="H1140" s="157">
        <v>3</v>
      </c>
    </row>
    <row r="1141" spans="7:8" x14ac:dyDescent="0.2">
      <c r="G1141" s="157">
        <v>14</v>
      </c>
      <c r="H1141" s="157">
        <v>4</v>
      </c>
    </row>
    <row r="1142" spans="7:8" x14ac:dyDescent="0.2">
      <c r="G1142" s="157">
        <v>12</v>
      </c>
      <c r="H1142" s="157">
        <v>3</v>
      </c>
    </row>
    <row r="1143" spans="7:8" x14ac:dyDescent="0.2">
      <c r="G1143" s="157">
        <v>10</v>
      </c>
      <c r="H1143" s="157">
        <v>2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33248-422A-4F1F-8CD8-F9F62B6EA6AD}">
  <sheetPr>
    <tabColor rgb="FF92D050"/>
  </sheetPr>
  <dimension ref="B1:AF56"/>
  <sheetViews>
    <sheetView topLeftCell="A11" zoomScaleNormal="100" workbookViewId="0">
      <selection activeCell="AM19" sqref="AM19"/>
    </sheetView>
  </sheetViews>
  <sheetFormatPr baseColWidth="10" defaultColWidth="8.83203125" defaultRowHeight="19" x14ac:dyDescent="0.25"/>
  <cols>
    <col min="2" max="2" width="4.83203125" style="190" customWidth="1"/>
    <col min="3" max="3" width="9.1640625" style="190"/>
  </cols>
  <sheetData>
    <row r="1" spans="2:32" ht="20" thickBot="1" x14ac:dyDescent="0.3"/>
    <row r="2" spans="2:32" ht="29" x14ac:dyDescent="0.35">
      <c r="B2" s="705" t="s">
        <v>68</v>
      </c>
      <c r="C2" s="706"/>
      <c r="D2" s="706"/>
      <c r="E2" s="706"/>
      <c r="F2" s="706"/>
      <c r="G2" s="706"/>
      <c r="H2" s="706"/>
      <c r="I2" s="706"/>
      <c r="J2" s="706"/>
      <c r="K2" s="706"/>
      <c r="L2" s="706"/>
      <c r="M2" s="706"/>
      <c r="N2" s="706"/>
      <c r="O2" s="706"/>
      <c r="P2" s="706"/>
      <c r="Q2" s="706"/>
      <c r="R2" s="706"/>
      <c r="S2" s="706"/>
      <c r="T2" s="706"/>
      <c r="U2" s="706"/>
      <c r="V2" s="706"/>
      <c r="W2" s="706"/>
      <c r="X2" s="706"/>
      <c r="Y2" s="706"/>
      <c r="Z2" s="706"/>
      <c r="AA2" s="706"/>
      <c r="AB2" s="706"/>
      <c r="AC2" s="706"/>
      <c r="AD2" s="706"/>
      <c r="AE2" s="706"/>
      <c r="AF2" s="707"/>
    </row>
    <row r="3" spans="2:32" ht="20" customHeight="1" x14ac:dyDescent="0.25">
      <c r="B3" s="613" t="s">
        <v>692</v>
      </c>
      <c r="AF3" s="12"/>
    </row>
    <row r="4" spans="2:32" ht="20" customHeight="1" x14ac:dyDescent="0.25">
      <c r="B4" s="613"/>
      <c r="C4" s="190" t="s">
        <v>622</v>
      </c>
      <c r="AF4" s="12"/>
    </row>
    <row r="5" spans="2:32" ht="20" customHeight="1" x14ac:dyDescent="0.25">
      <c r="B5" s="613"/>
      <c r="C5" s="190" t="s">
        <v>623</v>
      </c>
      <c r="AF5" s="12"/>
    </row>
    <row r="6" spans="2:32" ht="20" customHeight="1" x14ac:dyDescent="0.25">
      <c r="B6" s="613"/>
      <c r="C6" s="190" t="s">
        <v>624</v>
      </c>
      <c r="AF6" s="12"/>
    </row>
    <row r="7" spans="2:32" ht="20" customHeight="1" x14ac:dyDescent="0.25">
      <c r="B7" s="613" t="s">
        <v>625</v>
      </c>
      <c r="AF7" s="12"/>
    </row>
    <row r="8" spans="2:32" ht="20" customHeight="1" x14ac:dyDescent="0.25">
      <c r="B8" s="613"/>
      <c r="C8" s="190" t="s">
        <v>626</v>
      </c>
      <c r="AF8" s="12"/>
    </row>
    <row r="9" spans="2:32" ht="20" customHeight="1" x14ac:dyDescent="0.25">
      <c r="B9" s="613"/>
      <c r="C9" s="190" t="s">
        <v>627</v>
      </c>
      <c r="AF9" s="12"/>
    </row>
    <row r="10" spans="2:32" ht="20" customHeight="1" x14ac:dyDescent="0.25">
      <c r="B10" s="613"/>
      <c r="C10" s="190" t="s">
        <v>628</v>
      </c>
      <c r="AF10" s="12"/>
    </row>
    <row r="11" spans="2:32" ht="20" customHeight="1" x14ac:dyDescent="0.25">
      <c r="B11" s="613"/>
      <c r="C11" s="190" t="s">
        <v>694</v>
      </c>
      <c r="AF11" s="12"/>
    </row>
    <row r="12" spans="2:32" ht="20" customHeight="1" x14ac:dyDescent="0.25">
      <c r="B12" s="613"/>
      <c r="C12" s="190" t="s">
        <v>695</v>
      </c>
      <c r="AF12" s="12"/>
    </row>
    <row r="13" spans="2:32" ht="20" customHeight="1" x14ac:dyDescent="0.25">
      <c r="B13" s="613"/>
      <c r="C13" s="190" t="s">
        <v>635</v>
      </c>
      <c r="AF13" s="12"/>
    </row>
    <row r="14" spans="2:32" ht="20" customHeight="1" x14ac:dyDescent="0.25">
      <c r="B14" s="613" t="s">
        <v>693</v>
      </c>
      <c r="AF14" s="12"/>
    </row>
    <row r="15" spans="2:32" ht="20" customHeight="1" x14ac:dyDescent="0.25">
      <c r="B15" s="613" t="s">
        <v>696</v>
      </c>
      <c r="AF15" s="12"/>
    </row>
    <row r="16" spans="2:32" ht="20" customHeight="1" x14ac:dyDescent="0.25">
      <c r="B16" s="613" t="s">
        <v>69</v>
      </c>
      <c r="AF16" s="12"/>
    </row>
    <row r="17" spans="2:32" ht="20" customHeight="1" x14ac:dyDescent="0.25">
      <c r="B17" s="613" t="s">
        <v>634</v>
      </c>
      <c r="AF17" s="12"/>
    </row>
    <row r="18" spans="2:32" ht="20" customHeight="1" x14ac:dyDescent="0.25">
      <c r="B18" s="613"/>
      <c r="C18" s="190" t="s">
        <v>697</v>
      </c>
      <c r="AF18" s="12"/>
    </row>
    <row r="19" spans="2:32" ht="20" customHeight="1" x14ac:dyDescent="0.25">
      <c r="B19" s="613"/>
      <c r="C19" s="190" t="s">
        <v>698</v>
      </c>
      <c r="AF19" s="12"/>
    </row>
    <row r="20" spans="2:32" ht="20" customHeight="1" x14ac:dyDescent="0.25">
      <c r="B20" s="613" t="s">
        <v>633</v>
      </c>
      <c r="AF20" s="12"/>
    </row>
    <row r="21" spans="2:32" ht="20" customHeight="1" x14ac:dyDescent="0.25">
      <c r="B21" s="613" t="s">
        <v>631</v>
      </c>
      <c r="AF21" s="12"/>
    </row>
    <row r="22" spans="2:32" ht="20" customHeight="1" x14ac:dyDescent="0.25">
      <c r="B22" s="613"/>
      <c r="C22" s="190" t="s">
        <v>629</v>
      </c>
      <c r="AF22" s="12"/>
    </row>
    <row r="23" spans="2:32" ht="20" customHeight="1" x14ac:dyDescent="0.25">
      <c r="B23" s="613"/>
      <c r="C23" s="190" t="s">
        <v>630</v>
      </c>
      <c r="AF23" s="12"/>
    </row>
    <row r="24" spans="2:32" ht="20" customHeight="1" x14ac:dyDescent="0.25">
      <c r="B24" s="613"/>
      <c r="C24" s="190" t="s">
        <v>632</v>
      </c>
      <c r="AF24" s="12"/>
    </row>
    <row r="25" spans="2:32" ht="20" customHeight="1" x14ac:dyDescent="0.25">
      <c r="B25" s="613" t="s">
        <v>699</v>
      </c>
      <c r="AF25" s="12"/>
    </row>
    <row r="26" spans="2:32" ht="20" customHeight="1" x14ac:dyDescent="0.25">
      <c r="B26" s="613" t="s">
        <v>700</v>
      </c>
      <c r="AF26" s="12"/>
    </row>
    <row r="27" spans="2:32" ht="20" customHeight="1" x14ac:dyDescent="0.25">
      <c r="B27" s="613" t="s">
        <v>70</v>
      </c>
      <c r="AF27" s="12"/>
    </row>
    <row r="28" spans="2:32" x14ac:dyDescent="0.25">
      <c r="B28" s="613" t="s">
        <v>71</v>
      </c>
      <c r="AF28" s="12"/>
    </row>
    <row r="29" spans="2:32" x14ac:dyDescent="0.25">
      <c r="B29" s="613"/>
      <c r="C29" s="190" t="s">
        <v>701</v>
      </c>
      <c r="AF29" s="12"/>
    </row>
    <row r="30" spans="2:32" x14ac:dyDescent="0.25">
      <c r="B30" s="613"/>
      <c r="C30" s="190" t="s">
        <v>637</v>
      </c>
      <c r="AF30" s="12"/>
    </row>
    <row r="31" spans="2:32" x14ac:dyDescent="0.25">
      <c r="B31" s="613"/>
      <c r="C31" s="190" t="s">
        <v>636</v>
      </c>
      <c r="AF31" s="12"/>
    </row>
    <row r="32" spans="2:32" x14ac:dyDescent="0.25">
      <c r="B32" s="613" t="s">
        <v>72</v>
      </c>
      <c r="AF32" s="12"/>
    </row>
    <row r="33" spans="2:32" x14ac:dyDescent="0.25">
      <c r="B33" s="613"/>
      <c r="C33" s="190" t="s">
        <v>638</v>
      </c>
      <c r="AF33" s="12"/>
    </row>
    <row r="34" spans="2:32" x14ac:dyDescent="0.25">
      <c r="B34" s="613"/>
      <c r="C34" s="190" t="s">
        <v>639</v>
      </c>
      <c r="AF34" s="12"/>
    </row>
    <row r="35" spans="2:32" x14ac:dyDescent="0.25">
      <c r="B35" s="613"/>
      <c r="C35" s="190" t="s">
        <v>640</v>
      </c>
      <c r="AF35" s="12"/>
    </row>
    <row r="36" spans="2:32" x14ac:dyDescent="0.25">
      <c r="B36" s="613"/>
      <c r="C36" s="190" t="s">
        <v>641</v>
      </c>
      <c r="AF36" s="12"/>
    </row>
    <row r="37" spans="2:32" ht="20" thickBot="1" x14ac:dyDescent="0.3">
      <c r="B37" s="614"/>
      <c r="C37" s="617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4"/>
    </row>
    <row r="38" spans="2:32" ht="24" x14ac:dyDescent="0.3">
      <c r="B38" s="713" t="s">
        <v>73</v>
      </c>
      <c r="C38" s="714"/>
      <c r="D38" s="714"/>
      <c r="E38" s="714"/>
      <c r="F38" s="714"/>
      <c r="G38" s="714"/>
      <c r="H38" s="714"/>
      <c r="I38" s="714"/>
      <c r="J38" s="714"/>
      <c r="K38" s="714"/>
      <c r="L38" s="714"/>
      <c r="M38" s="714"/>
      <c r="N38" s="714"/>
      <c r="O38" s="714"/>
      <c r="P38" s="714"/>
      <c r="Q38" s="714"/>
      <c r="R38" s="714"/>
      <c r="S38" s="714"/>
      <c r="T38" s="714"/>
      <c r="U38" s="714"/>
      <c r="V38" s="714"/>
      <c r="W38" s="714"/>
      <c r="X38" s="714"/>
      <c r="Y38" s="714"/>
      <c r="Z38" s="714"/>
      <c r="AA38" s="714"/>
      <c r="AB38" s="714"/>
      <c r="AC38" s="714"/>
      <c r="AD38" s="714"/>
      <c r="AE38" s="714"/>
      <c r="AF38" s="715"/>
    </row>
    <row r="39" spans="2:32" x14ac:dyDescent="0.25">
      <c r="B39" s="613" t="s">
        <v>74</v>
      </c>
      <c r="C39" s="287"/>
      <c r="D39" s="287"/>
      <c r="E39" s="287"/>
      <c r="AF39" s="12"/>
    </row>
    <row r="40" spans="2:32" ht="18.75" customHeight="1" x14ac:dyDescent="0.25">
      <c r="B40" s="613" t="s">
        <v>75</v>
      </c>
      <c r="C40" s="287"/>
      <c r="D40" s="287"/>
      <c r="E40" s="287"/>
      <c r="AF40" s="12"/>
    </row>
    <row r="41" spans="2:32" ht="18.75" customHeight="1" x14ac:dyDescent="0.25">
      <c r="B41" s="613" t="s">
        <v>76</v>
      </c>
      <c r="C41" s="287"/>
      <c r="D41" s="287"/>
      <c r="E41" s="287"/>
      <c r="AF41" s="12"/>
    </row>
    <row r="42" spans="2:32" ht="18.75" customHeight="1" x14ac:dyDescent="0.25">
      <c r="B42" s="613" t="s">
        <v>77</v>
      </c>
      <c r="C42" s="287"/>
      <c r="D42" s="287"/>
      <c r="E42" s="287"/>
      <c r="AF42" s="12"/>
    </row>
    <row r="43" spans="2:32" ht="18.75" customHeight="1" x14ac:dyDescent="0.25">
      <c r="B43" s="613" t="s">
        <v>78</v>
      </c>
      <c r="C43" s="287"/>
      <c r="D43" s="287"/>
      <c r="E43" s="287"/>
      <c r="AF43" s="12"/>
    </row>
    <row r="44" spans="2:32" ht="18.75" customHeight="1" x14ac:dyDescent="0.25">
      <c r="B44" s="613" t="s">
        <v>79</v>
      </c>
      <c r="C44" s="287"/>
      <c r="D44" s="287"/>
      <c r="E44" s="287"/>
      <c r="AF44" s="12"/>
    </row>
    <row r="45" spans="2:32" ht="18.75" customHeight="1" x14ac:dyDescent="0.25">
      <c r="B45" s="613" t="s">
        <v>80</v>
      </c>
      <c r="C45" s="287"/>
      <c r="D45" s="287"/>
      <c r="E45" s="287"/>
      <c r="AF45" s="12"/>
    </row>
    <row r="46" spans="2:32" ht="18.75" customHeight="1" x14ac:dyDescent="0.25">
      <c r="B46" s="613" t="s">
        <v>81</v>
      </c>
      <c r="C46" s="287"/>
      <c r="D46" s="287"/>
      <c r="E46" s="287"/>
      <c r="AF46" s="12"/>
    </row>
    <row r="47" spans="2:32" ht="18.75" customHeight="1" x14ac:dyDescent="0.25">
      <c r="B47" s="613" t="s">
        <v>82</v>
      </c>
      <c r="C47" s="287"/>
      <c r="D47" s="287"/>
      <c r="E47" s="287"/>
      <c r="AF47" s="12"/>
    </row>
    <row r="48" spans="2:32" ht="18.75" customHeight="1" thickBot="1" x14ac:dyDescent="0.3">
      <c r="B48" s="614" t="s">
        <v>83</v>
      </c>
      <c r="C48" s="615"/>
      <c r="D48" s="615"/>
      <c r="E48" s="615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4"/>
    </row>
    <row r="49" spans="3:5" ht="18.75" customHeight="1" x14ac:dyDescent="0.25">
      <c r="C49" s="287"/>
      <c r="D49" s="287"/>
      <c r="E49" s="287"/>
    </row>
    <row r="50" spans="3:5" ht="18.75" customHeight="1" x14ac:dyDescent="0.25">
      <c r="C50" s="287"/>
      <c r="D50" s="287"/>
      <c r="E50" s="287"/>
    </row>
    <row r="51" spans="3:5" ht="18.75" customHeight="1" x14ac:dyDescent="0.25">
      <c r="C51" s="287"/>
      <c r="D51" s="287"/>
      <c r="E51" s="287"/>
    </row>
    <row r="52" spans="3:5" ht="18.75" customHeight="1" x14ac:dyDescent="0.25">
      <c r="C52" s="287"/>
      <c r="D52" s="287"/>
      <c r="E52" s="287"/>
    </row>
    <row r="53" spans="3:5" ht="18.75" customHeight="1" x14ac:dyDescent="0.25"/>
    <row r="54" spans="3:5" ht="18.75" customHeight="1" x14ac:dyDescent="0.25"/>
    <row r="55" spans="3:5" ht="18.75" customHeight="1" x14ac:dyDescent="0.25"/>
    <row r="56" spans="3:5" ht="18.75" customHeight="1" x14ac:dyDescent="0.25"/>
  </sheetData>
  <mergeCells count="2">
    <mergeCell ref="B2:AF2"/>
    <mergeCell ref="B38:AF38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B1:AO232"/>
  <sheetViews>
    <sheetView topLeftCell="A153" zoomScale="77" zoomScaleNormal="77" workbookViewId="0">
      <selection activeCell="AK102" sqref="AK102"/>
    </sheetView>
  </sheetViews>
  <sheetFormatPr baseColWidth="10" defaultColWidth="8.83203125" defaultRowHeight="15" x14ac:dyDescent="0.2"/>
  <sheetData>
    <row r="1" spans="2:19" hidden="1" x14ac:dyDescent="0.2"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</row>
    <row r="2" spans="2:19" hidden="1" x14ac:dyDescent="0.2"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</row>
    <row r="3" spans="2:19" hidden="1" x14ac:dyDescent="0.2"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</row>
    <row r="4" spans="2:19" hidden="1" x14ac:dyDescent="0.2"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</row>
    <row r="5" spans="2:19" hidden="1" x14ac:dyDescent="0.2"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</row>
    <row r="6" spans="2:19" hidden="1" x14ac:dyDescent="0.2"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</row>
    <row r="7" spans="2:19" hidden="1" x14ac:dyDescent="0.2"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</row>
    <row r="8" spans="2:19" hidden="1" x14ac:dyDescent="0.2"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</row>
    <row r="9" spans="2:19" hidden="1" x14ac:dyDescent="0.2"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</row>
    <row r="10" spans="2:19" hidden="1" x14ac:dyDescent="0.2"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</row>
    <row r="11" spans="2:19" hidden="1" x14ac:dyDescent="0.2"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</row>
    <row r="12" spans="2:19" hidden="1" x14ac:dyDescent="0.2"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</row>
    <row r="13" spans="2:19" hidden="1" x14ac:dyDescent="0.2"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</row>
    <row r="14" spans="2:19" hidden="1" x14ac:dyDescent="0.2"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</row>
    <row r="15" spans="2:19" hidden="1" x14ac:dyDescent="0.2"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</row>
    <row r="16" spans="2:19" hidden="1" x14ac:dyDescent="0.2"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</row>
    <row r="17" spans="2:19" hidden="1" x14ac:dyDescent="0.2"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</row>
    <row r="18" spans="2:19" hidden="1" x14ac:dyDescent="0.2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</row>
    <row r="19" spans="2:19" hidden="1" x14ac:dyDescent="0.2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</row>
    <row r="20" spans="2:19" hidden="1" x14ac:dyDescent="0.2"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</row>
    <row r="21" spans="2:19" hidden="1" x14ac:dyDescent="0.2"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</row>
    <row r="22" spans="2:19" hidden="1" x14ac:dyDescent="0.2"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</row>
    <row r="23" spans="2:19" hidden="1" x14ac:dyDescent="0.2"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</row>
    <row r="24" spans="2:19" hidden="1" x14ac:dyDescent="0.2"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</row>
    <row r="25" spans="2:19" hidden="1" x14ac:dyDescent="0.2"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</row>
    <row r="26" spans="2:19" hidden="1" x14ac:dyDescent="0.2"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</row>
    <row r="27" spans="2:19" hidden="1" x14ac:dyDescent="0.2"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</row>
    <row r="28" spans="2:19" hidden="1" x14ac:dyDescent="0.2"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</row>
    <row r="29" spans="2:19" hidden="1" x14ac:dyDescent="0.2"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</row>
    <row r="30" spans="2:19" hidden="1" x14ac:dyDescent="0.2"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</row>
    <row r="31" spans="2:19" hidden="1" x14ac:dyDescent="0.2"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</row>
    <row r="32" spans="2:19" hidden="1" x14ac:dyDescent="0.2"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</row>
    <row r="33" spans="2:19" hidden="1" x14ac:dyDescent="0.2"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</row>
    <row r="34" spans="2:19" hidden="1" x14ac:dyDescent="0.2"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</row>
    <row r="35" spans="2:19" hidden="1" x14ac:dyDescent="0.2"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</row>
    <row r="36" spans="2:19" hidden="1" x14ac:dyDescent="0.2"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</row>
    <row r="37" spans="2:19" hidden="1" x14ac:dyDescent="0.2"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</row>
    <row r="38" spans="2:19" hidden="1" x14ac:dyDescent="0.2"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</row>
    <row r="39" spans="2:19" hidden="1" x14ac:dyDescent="0.2"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</row>
    <row r="40" spans="2:19" hidden="1" x14ac:dyDescent="0.2"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</row>
    <row r="41" spans="2:19" hidden="1" x14ac:dyDescent="0.2"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</row>
    <row r="42" spans="2:19" hidden="1" x14ac:dyDescent="0.2"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</row>
    <row r="43" spans="2:19" hidden="1" x14ac:dyDescent="0.2"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</row>
    <row r="44" spans="2:19" hidden="1" x14ac:dyDescent="0.2"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</row>
    <row r="45" spans="2:19" hidden="1" x14ac:dyDescent="0.2"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</row>
    <row r="46" spans="2:19" hidden="1" x14ac:dyDescent="0.2"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</row>
    <row r="47" spans="2:19" hidden="1" x14ac:dyDescent="0.2"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</row>
    <row r="48" spans="2:19" hidden="1" x14ac:dyDescent="0.2"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</row>
    <row r="49" spans="2:41" hidden="1" x14ac:dyDescent="0.2"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</row>
    <row r="50" spans="2:41" hidden="1" x14ac:dyDescent="0.2"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</row>
    <row r="51" spans="2:41" hidden="1" x14ac:dyDescent="0.2"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</row>
    <row r="52" spans="2:41" hidden="1" x14ac:dyDescent="0.2"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</row>
    <row r="53" spans="2:41" x14ac:dyDescent="0.2"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 x14ac:dyDescent="0.2"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 x14ac:dyDescent="0.2"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 x14ac:dyDescent="0.2"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 x14ac:dyDescent="0.2"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 x14ac:dyDescent="0.2"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 x14ac:dyDescent="0.2"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 x14ac:dyDescent="0.2"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 x14ac:dyDescent="0.2"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 x14ac:dyDescent="0.2"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 x14ac:dyDescent="0.2"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 x14ac:dyDescent="0.2"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 x14ac:dyDescent="0.2"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 x14ac:dyDescent="0.2"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 x14ac:dyDescent="0.2"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 x14ac:dyDescent="0.2"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 x14ac:dyDescent="0.2"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 x14ac:dyDescent="0.2"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 x14ac:dyDescent="0.2"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 x14ac:dyDescent="0.2"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 x14ac:dyDescent="0.2"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 x14ac:dyDescent="0.2"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 x14ac:dyDescent="0.2"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 x14ac:dyDescent="0.2"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 x14ac:dyDescent="0.2"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  <row r="78" spans="2:41" x14ac:dyDescent="0.2"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</row>
    <row r="79" spans="2:41" x14ac:dyDescent="0.2"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</row>
    <row r="80" spans="2:41" x14ac:dyDescent="0.2"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</row>
    <row r="81" spans="2:41" x14ac:dyDescent="0.2"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</row>
    <row r="82" spans="2:41" x14ac:dyDescent="0.2"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</row>
    <row r="83" spans="2:41" x14ac:dyDescent="0.2"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</row>
    <row r="84" spans="2:41" x14ac:dyDescent="0.2"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</row>
    <row r="85" spans="2:41" x14ac:dyDescent="0.2"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</row>
    <row r="86" spans="2:41" x14ac:dyDescent="0.2"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</row>
    <row r="87" spans="2:41" x14ac:dyDescent="0.2"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</row>
    <row r="88" spans="2:41" x14ac:dyDescent="0.2"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</row>
    <row r="89" spans="2:41" x14ac:dyDescent="0.2"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</row>
    <row r="90" spans="2:41" x14ac:dyDescent="0.2"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</row>
    <row r="91" spans="2:41" x14ac:dyDescent="0.2"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</row>
    <row r="92" spans="2:41" x14ac:dyDescent="0.2"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</row>
    <row r="93" spans="2:41" x14ac:dyDescent="0.2"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</row>
    <row r="94" spans="2:41" x14ac:dyDescent="0.2"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</row>
    <row r="95" spans="2:41" x14ac:dyDescent="0.2"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</row>
    <row r="96" spans="2:41" x14ac:dyDescent="0.2"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</row>
    <row r="97" spans="2:41" x14ac:dyDescent="0.2"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</row>
    <row r="98" spans="2:41" x14ac:dyDescent="0.2"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</row>
    <row r="99" spans="2:41" x14ac:dyDescent="0.2"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</row>
    <row r="100" spans="2:41" x14ac:dyDescent="0.2"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</row>
    <row r="101" spans="2:41" x14ac:dyDescent="0.2"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</row>
    <row r="102" spans="2:41" x14ac:dyDescent="0.2"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</row>
    <row r="103" spans="2:41" x14ac:dyDescent="0.2"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</row>
    <row r="104" spans="2:41" x14ac:dyDescent="0.2"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</row>
    <row r="105" spans="2:41" x14ac:dyDescent="0.2"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</row>
    <row r="106" spans="2:41" x14ac:dyDescent="0.2"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</row>
    <row r="107" spans="2:41" x14ac:dyDescent="0.2"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</row>
    <row r="108" spans="2:41" x14ac:dyDescent="0.2"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</row>
    <row r="109" spans="2:41" x14ac:dyDescent="0.2"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</row>
    <row r="110" spans="2:41" x14ac:dyDescent="0.2"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</row>
    <row r="111" spans="2:41" x14ac:dyDescent="0.2"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</row>
    <row r="112" spans="2:41" x14ac:dyDescent="0.2"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</row>
    <row r="113" spans="2:41" x14ac:dyDescent="0.2"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</row>
    <row r="114" spans="2:41" x14ac:dyDescent="0.2"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</row>
    <row r="115" spans="2:41" x14ac:dyDescent="0.2"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</row>
    <row r="116" spans="2:41" x14ac:dyDescent="0.2"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</row>
    <row r="117" spans="2:41" x14ac:dyDescent="0.2"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</row>
    <row r="118" spans="2:41" x14ac:dyDescent="0.2"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</row>
    <row r="119" spans="2:41" x14ac:dyDescent="0.2"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</row>
    <row r="120" spans="2:41" x14ac:dyDescent="0.2"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</row>
    <row r="121" spans="2:41" x14ac:dyDescent="0.2"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</row>
    <row r="122" spans="2:41" x14ac:dyDescent="0.2"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</row>
    <row r="123" spans="2:41" x14ac:dyDescent="0.2"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</row>
    <row r="124" spans="2:41" x14ac:dyDescent="0.2"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</row>
    <row r="125" spans="2:41" x14ac:dyDescent="0.2"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</row>
    <row r="126" spans="2:41" x14ac:dyDescent="0.2"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</row>
    <row r="127" spans="2:41" x14ac:dyDescent="0.2"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</row>
    <row r="128" spans="2:41" x14ac:dyDescent="0.2"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</row>
    <row r="129" spans="2:41" x14ac:dyDescent="0.2"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</row>
    <row r="130" spans="2:41" x14ac:dyDescent="0.2"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</row>
    <row r="131" spans="2:41" x14ac:dyDescent="0.2"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</row>
    <row r="132" spans="2:41" x14ac:dyDescent="0.2"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</row>
    <row r="133" spans="2:41" x14ac:dyDescent="0.2"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</row>
    <row r="134" spans="2:41" x14ac:dyDescent="0.2"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</row>
    <row r="135" spans="2:41" x14ac:dyDescent="0.2"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</row>
    <row r="136" spans="2:41" x14ac:dyDescent="0.2"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</row>
    <row r="137" spans="2:41" x14ac:dyDescent="0.2"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</row>
    <row r="138" spans="2:41" x14ac:dyDescent="0.2"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</row>
    <row r="139" spans="2:41" x14ac:dyDescent="0.2"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</row>
    <row r="140" spans="2:41" x14ac:dyDescent="0.2"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</row>
    <row r="141" spans="2:41" x14ac:dyDescent="0.2"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</row>
    <row r="142" spans="2:41" x14ac:dyDescent="0.2"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</row>
    <row r="143" spans="2:41" x14ac:dyDescent="0.2"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</row>
    <row r="144" spans="2:41" x14ac:dyDescent="0.2"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</row>
    <row r="145" spans="2:41" x14ac:dyDescent="0.2"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</row>
    <row r="146" spans="2:41" x14ac:dyDescent="0.2"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</row>
    <row r="147" spans="2:41" x14ac:dyDescent="0.2"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</row>
    <row r="148" spans="2:41" x14ac:dyDescent="0.2"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</row>
    <row r="149" spans="2:41" x14ac:dyDescent="0.2"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</row>
    <row r="150" spans="2:41" x14ac:dyDescent="0.2"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</row>
    <row r="151" spans="2:41" x14ac:dyDescent="0.2"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</row>
    <row r="152" spans="2:41" x14ac:dyDescent="0.2"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</row>
    <row r="153" spans="2:41" x14ac:dyDescent="0.2"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</row>
    <row r="154" spans="2:41" x14ac:dyDescent="0.2"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</row>
    <row r="155" spans="2:41" x14ac:dyDescent="0.2"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</row>
    <row r="156" spans="2:41" x14ac:dyDescent="0.2"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</row>
    <row r="157" spans="2:41" x14ac:dyDescent="0.2"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</row>
    <row r="158" spans="2:41" x14ac:dyDescent="0.2"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</row>
    <row r="159" spans="2:41" x14ac:dyDescent="0.2"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</row>
    <row r="160" spans="2:41" x14ac:dyDescent="0.2"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</row>
    <row r="161" spans="2:41" x14ac:dyDescent="0.2"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</row>
    <row r="162" spans="2:41" x14ac:dyDescent="0.2"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</row>
    <row r="163" spans="2:41" x14ac:dyDescent="0.2"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</row>
    <row r="164" spans="2:41" x14ac:dyDescent="0.2"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</row>
    <row r="165" spans="2:41" x14ac:dyDescent="0.2"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</row>
    <row r="166" spans="2:41" x14ac:dyDescent="0.2"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</row>
    <row r="167" spans="2:41" x14ac:dyDescent="0.2"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</row>
    <row r="168" spans="2:41" x14ac:dyDescent="0.2"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</row>
    <row r="169" spans="2:41" x14ac:dyDescent="0.2"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</row>
    <row r="170" spans="2:41" x14ac:dyDescent="0.2"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</row>
    <row r="171" spans="2:41" x14ac:dyDescent="0.2"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</row>
    <row r="172" spans="2:41" x14ac:dyDescent="0.2"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</row>
    <row r="173" spans="2:41" x14ac:dyDescent="0.2"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</row>
    <row r="174" spans="2:41" x14ac:dyDescent="0.2"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</row>
    <row r="175" spans="2:41" x14ac:dyDescent="0.2"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</row>
    <row r="176" spans="2:41" x14ac:dyDescent="0.2"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</row>
    <row r="177" spans="2:41" x14ac:dyDescent="0.2"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</row>
    <row r="178" spans="2:41" x14ac:dyDescent="0.2"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</row>
    <row r="179" spans="2:41" x14ac:dyDescent="0.2"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</row>
    <row r="180" spans="2:41" x14ac:dyDescent="0.2"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</row>
    <row r="181" spans="2:41" x14ac:dyDescent="0.2"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</row>
    <row r="182" spans="2:41" x14ac:dyDescent="0.2"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</row>
    <row r="183" spans="2:41" x14ac:dyDescent="0.2"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</row>
    <row r="184" spans="2:41" x14ac:dyDescent="0.2"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</row>
    <row r="185" spans="2:41" x14ac:dyDescent="0.2"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</row>
    <row r="186" spans="2:41" x14ac:dyDescent="0.2"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</row>
    <row r="187" spans="2:41" x14ac:dyDescent="0.2"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</row>
    <row r="188" spans="2:41" x14ac:dyDescent="0.2"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</row>
    <row r="189" spans="2:41" x14ac:dyDescent="0.2"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</row>
    <row r="190" spans="2:41" x14ac:dyDescent="0.2"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</row>
    <row r="191" spans="2:41" x14ac:dyDescent="0.2"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</row>
    <row r="192" spans="2:41" x14ac:dyDescent="0.2"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</row>
    <row r="193" spans="2:41" x14ac:dyDescent="0.2"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</row>
    <row r="194" spans="2:41" x14ac:dyDescent="0.2"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</row>
    <row r="195" spans="2:41" x14ac:dyDescent="0.2"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</row>
    <row r="196" spans="2:41" x14ac:dyDescent="0.2"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</row>
    <row r="197" spans="2:41" x14ac:dyDescent="0.2"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</row>
    <row r="198" spans="2:41" x14ac:dyDescent="0.2"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</row>
    <row r="199" spans="2:41" x14ac:dyDescent="0.2"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</row>
    <row r="200" spans="2:41" x14ac:dyDescent="0.2"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</row>
    <row r="201" spans="2:41" x14ac:dyDescent="0.2"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</row>
    <row r="202" spans="2:41" x14ac:dyDescent="0.2"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</row>
    <row r="203" spans="2:41" x14ac:dyDescent="0.2"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</row>
    <row r="204" spans="2:41" x14ac:dyDescent="0.2"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</row>
    <row r="205" spans="2:41" x14ac:dyDescent="0.2"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</row>
    <row r="206" spans="2:41" x14ac:dyDescent="0.2"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</row>
    <row r="207" spans="2:41" x14ac:dyDescent="0.2"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</row>
    <row r="208" spans="2:41" x14ac:dyDescent="0.2"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</row>
    <row r="209" spans="2:41" x14ac:dyDescent="0.2"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</row>
    <row r="210" spans="2:41" x14ac:dyDescent="0.2"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</row>
    <row r="211" spans="2:41" x14ac:dyDescent="0.2"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</row>
    <row r="212" spans="2:41" x14ac:dyDescent="0.2"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</row>
    <row r="213" spans="2:41" x14ac:dyDescent="0.2"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</row>
    <row r="214" spans="2:41" x14ac:dyDescent="0.2"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</row>
    <row r="215" spans="2:41" x14ac:dyDescent="0.2"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</row>
    <row r="216" spans="2:41" x14ac:dyDescent="0.2"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</row>
    <row r="217" spans="2:41" x14ac:dyDescent="0.2"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</row>
    <row r="218" spans="2:41" x14ac:dyDescent="0.2"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</row>
    <row r="219" spans="2:41" x14ac:dyDescent="0.2"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</row>
    <row r="220" spans="2:41" x14ac:dyDescent="0.2"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</row>
    <row r="221" spans="2:41" x14ac:dyDescent="0.2"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</row>
    <row r="222" spans="2:41" x14ac:dyDescent="0.2"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</row>
    <row r="223" spans="2:41" x14ac:dyDescent="0.2"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</row>
    <row r="224" spans="2:41" x14ac:dyDescent="0.2"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</row>
    <row r="225" spans="2:41" x14ac:dyDescent="0.2"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</row>
    <row r="226" spans="2:41" x14ac:dyDescent="0.2"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</row>
    <row r="227" spans="2:41" x14ac:dyDescent="0.2"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</row>
    <row r="228" spans="2:41" x14ac:dyDescent="0.2"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</row>
    <row r="229" spans="2:41" x14ac:dyDescent="0.2"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</row>
    <row r="230" spans="2:41" x14ac:dyDescent="0.2"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</row>
    <row r="231" spans="2:41" x14ac:dyDescent="0.2"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</row>
    <row r="232" spans="2:41" x14ac:dyDescent="0.2"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A1C20-61CF-4263-9C6F-37AF9D8EE6A2}">
  <sheetPr>
    <tabColor rgb="FFFFFF00"/>
  </sheetPr>
  <dimension ref="A1:Z70"/>
  <sheetViews>
    <sheetView tabSelected="1" zoomScale="70" zoomScaleNormal="70" workbookViewId="0">
      <selection activeCell="D21" sqref="D21"/>
    </sheetView>
  </sheetViews>
  <sheetFormatPr baseColWidth="10" defaultColWidth="9.1640625" defaultRowHeight="15" x14ac:dyDescent="0.2"/>
  <cols>
    <col min="1" max="1" width="3.83203125" style="126" customWidth="1"/>
    <col min="2" max="2" width="35.33203125" style="126" customWidth="1"/>
    <col min="3" max="3" width="20.6640625" style="126" bestFit="1" customWidth="1"/>
    <col min="4" max="4" width="25.83203125" style="126" bestFit="1" customWidth="1"/>
    <col min="5" max="5" width="5.83203125" style="126" customWidth="1"/>
    <col min="6" max="6" width="13.1640625" style="126" bestFit="1" customWidth="1"/>
    <col min="7" max="7" width="15.33203125" style="126" bestFit="1" customWidth="1"/>
    <col min="8" max="8" width="14.33203125" style="126" bestFit="1" customWidth="1"/>
    <col min="9" max="9" width="15.33203125" style="126" bestFit="1" customWidth="1"/>
    <col min="10" max="10" width="12.1640625" style="126" bestFit="1" customWidth="1"/>
    <col min="11" max="11" width="15.33203125" style="126" bestFit="1" customWidth="1"/>
    <col min="12" max="12" width="12.1640625" style="126" bestFit="1" customWidth="1"/>
    <col min="13" max="13" width="15.33203125" style="126" bestFit="1" customWidth="1"/>
    <col min="14" max="14" width="12.1640625" style="126" bestFit="1" customWidth="1"/>
    <col min="15" max="15" width="15.33203125" style="126" bestFit="1" customWidth="1"/>
    <col min="16" max="16" width="12.1640625" style="126" bestFit="1" customWidth="1"/>
    <col min="17" max="18" width="12.1640625" style="126" customWidth="1"/>
    <col min="19" max="20" width="9.1640625" style="126"/>
    <col min="21" max="21" width="13.5" style="126" bestFit="1" customWidth="1"/>
    <col min="22" max="22" width="9.5" style="126" bestFit="1" customWidth="1"/>
    <col min="23" max="16384" width="9.1640625" style="126"/>
  </cols>
  <sheetData>
    <row r="1" spans="1:26" ht="37" x14ac:dyDescent="0.2">
      <c r="A1" s="55"/>
      <c r="B1" s="750" t="s">
        <v>84</v>
      </c>
      <c r="C1" s="750"/>
      <c r="D1" s="750"/>
      <c r="E1" s="750"/>
      <c r="F1" s="750"/>
      <c r="G1" s="750"/>
      <c r="H1" s="750"/>
      <c r="I1" s="750"/>
      <c r="J1" s="750"/>
      <c r="K1" s="750"/>
      <c r="L1" s="750"/>
      <c r="M1" s="750"/>
      <c r="N1" s="750"/>
      <c r="O1" s="750"/>
      <c r="P1" s="750"/>
      <c r="Q1" s="543"/>
      <c r="R1" s="543"/>
      <c r="S1" s="34"/>
    </row>
    <row r="2" spans="1:26" x14ac:dyDescent="0.2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</row>
    <row r="3" spans="1:26" ht="16" thickBot="1" x14ac:dyDescent="0.25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</row>
    <row r="4" spans="1:26" ht="30.75" customHeight="1" thickBot="1" x14ac:dyDescent="0.25">
      <c r="A4" s="34"/>
      <c r="B4" s="751" t="s">
        <v>85</v>
      </c>
      <c r="C4" s="752"/>
      <c r="D4" s="753"/>
      <c r="E4" s="34"/>
      <c r="F4" s="59" t="s">
        <v>86</v>
      </c>
      <c r="G4" s="761" t="s">
        <v>87</v>
      </c>
      <c r="H4" s="762"/>
      <c r="I4" s="762"/>
      <c r="J4" s="762"/>
      <c r="K4" s="762"/>
      <c r="L4" s="762"/>
      <c r="M4" s="762"/>
      <c r="N4" s="762"/>
      <c r="O4" s="762"/>
      <c r="P4" s="762"/>
      <c r="Q4" s="762"/>
      <c r="R4" s="762"/>
      <c r="S4" s="34"/>
    </row>
    <row r="5" spans="1:26" ht="16" thickBot="1" x14ac:dyDescent="0.25">
      <c r="A5" s="34"/>
      <c r="B5" s="34"/>
      <c r="C5" s="34"/>
      <c r="D5" s="34"/>
      <c r="E5" s="34"/>
      <c r="F5" s="256" t="s">
        <v>88</v>
      </c>
      <c r="G5" s="759" t="s">
        <v>89</v>
      </c>
      <c r="H5" s="760"/>
      <c r="I5" s="757" t="s">
        <v>90</v>
      </c>
      <c r="J5" s="758"/>
      <c r="K5" s="763" t="s">
        <v>91</v>
      </c>
      <c r="L5" s="764"/>
      <c r="M5" s="727" t="s">
        <v>92</v>
      </c>
      <c r="N5" s="728"/>
      <c r="O5" s="729" t="s">
        <v>93</v>
      </c>
      <c r="P5" s="730"/>
      <c r="Q5" s="765" t="s">
        <v>523</v>
      </c>
      <c r="R5" s="766"/>
      <c r="S5" s="34"/>
    </row>
    <row r="6" spans="1:26" ht="15.75" customHeight="1" thickBot="1" x14ac:dyDescent="0.25">
      <c r="A6" s="34"/>
      <c r="B6" s="258" t="s">
        <v>94</v>
      </c>
      <c r="C6" s="172">
        <v>21</v>
      </c>
      <c r="D6" s="163" t="s">
        <v>95</v>
      </c>
      <c r="E6" s="34"/>
      <c r="F6" s="257" t="s">
        <v>646</v>
      </c>
      <c r="G6" s="199" t="s">
        <v>97</v>
      </c>
      <c r="H6" s="200" t="s">
        <v>98</v>
      </c>
      <c r="I6" s="201" t="s">
        <v>97</v>
      </c>
      <c r="J6" s="202" t="s">
        <v>98</v>
      </c>
      <c r="K6" s="203" t="s">
        <v>97</v>
      </c>
      <c r="L6" s="204" t="s">
        <v>98</v>
      </c>
      <c r="M6" s="205" t="s">
        <v>97</v>
      </c>
      <c r="N6" s="206" t="s">
        <v>98</v>
      </c>
      <c r="O6" s="207" t="s">
        <v>97</v>
      </c>
      <c r="P6" s="208" t="s">
        <v>98</v>
      </c>
      <c r="Q6" s="544" t="s">
        <v>97</v>
      </c>
      <c r="R6" s="545" t="s">
        <v>98</v>
      </c>
      <c r="S6" s="34"/>
    </row>
    <row r="7" spans="1:26" ht="15" customHeight="1" x14ac:dyDescent="0.2">
      <c r="A7" s="34"/>
      <c r="B7" s="195" t="s">
        <v>99</v>
      </c>
      <c r="C7" s="173" t="s">
        <v>704</v>
      </c>
      <c r="D7" s="164"/>
      <c r="E7" s="34"/>
      <c r="F7" s="127">
        <v>3</v>
      </c>
      <c r="G7" s="175"/>
      <c r="H7" s="170">
        <v>75.7</v>
      </c>
      <c r="I7" s="174"/>
      <c r="J7" s="56"/>
      <c r="K7" s="132"/>
      <c r="L7" s="57"/>
      <c r="M7" s="132"/>
      <c r="N7" s="57"/>
      <c r="O7" s="132"/>
      <c r="P7" s="57"/>
      <c r="Q7" s="132"/>
      <c r="R7" s="57"/>
      <c r="S7" s="34"/>
    </row>
    <row r="8" spans="1:26" x14ac:dyDescent="0.2">
      <c r="A8" s="34"/>
      <c r="B8" s="184" t="s">
        <v>100</v>
      </c>
      <c r="C8" s="166">
        <v>6</v>
      </c>
      <c r="D8" s="164" t="s">
        <v>101</v>
      </c>
      <c r="E8" s="34"/>
      <c r="F8" s="128">
        <v>4</v>
      </c>
      <c r="G8" s="176"/>
      <c r="H8" s="171"/>
      <c r="I8" s="174"/>
      <c r="J8" s="56"/>
      <c r="K8" s="132"/>
      <c r="L8" s="57"/>
      <c r="M8" s="132"/>
      <c r="N8" s="57"/>
      <c r="O8" s="132"/>
      <c r="P8" s="57"/>
      <c r="Q8" s="132"/>
      <c r="R8" s="57"/>
      <c r="S8" s="34"/>
    </row>
    <row r="9" spans="1:26" x14ac:dyDescent="0.2">
      <c r="A9" s="34"/>
      <c r="B9" s="184" t="s">
        <v>102</v>
      </c>
      <c r="C9" s="56" t="s">
        <v>103</v>
      </c>
      <c r="D9" s="164"/>
      <c r="E9" s="34"/>
      <c r="F9" s="128">
        <v>5</v>
      </c>
      <c r="G9" s="176"/>
      <c r="H9" s="171"/>
      <c r="I9" s="174"/>
      <c r="J9" s="56"/>
      <c r="K9" s="132"/>
      <c r="L9" s="57"/>
      <c r="M9" s="132"/>
      <c r="N9" s="57"/>
      <c r="O9" s="132"/>
      <c r="P9" s="57"/>
      <c r="Q9" s="132"/>
      <c r="R9" s="57"/>
      <c r="S9" s="34"/>
    </row>
    <row r="10" spans="1:26" x14ac:dyDescent="0.2">
      <c r="A10" s="34"/>
      <c r="B10" s="195" t="s">
        <v>104</v>
      </c>
      <c r="C10" s="525">
        <v>350</v>
      </c>
      <c r="D10" s="164" t="s">
        <v>105</v>
      </c>
      <c r="E10" s="34"/>
      <c r="F10" s="128">
        <v>6</v>
      </c>
      <c r="G10" s="176"/>
      <c r="H10" s="171">
        <v>49.8</v>
      </c>
      <c r="I10" s="174"/>
      <c r="J10" s="56"/>
      <c r="K10" s="132"/>
      <c r="L10" s="57"/>
      <c r="M10" s="132"/>
      <c r="N10" s="57"/>
      <c r="O10" s="132"/>
      <c r="P10" s="57"/>
      <c r="Q10" s="132"/>
      <c r="R10" s="57"/>
      <c r="S10" s="34"/>
    </row>
    <row r="11" spans="1:26" ht="16" thickBot="1" x14ac:dyDescent="0.25">
      <c r="A11" s="34"/>
      <c r="B11" s="396" t="s">
        <v>615</v>
      </c>
      <c r="C11" s="530">
        <v>1</v>
      </c>
      <c r="D11" s="526"/>
      <c r="E11" s="34"/>
      <c r="F11" s="128">
        <v>7</v>
      </c>
      <c r="G11" s="176"/>
      <c r="H11" s="171"/>
      <c r="I11" s="174"/>
      <c r="J11" s="56"/>
      <c r="K11" s="132"/>
      <c r="L11" s="57"/>
      <c r="M11" s="132"/>
      <c r="N11" s="57"/>
      <c r="O11" s="132"/>
      <c r="P11" s="57"/>
      <c r="Q11" s="132"/>
      <c r="R11" s="57"/>
      <c r="S11" s="34"/>
    </row>
    <row r="12" spans="1:26" ht="16" thickBot="1" x14ac:dyDescent="0.25">
      <c r="A12" s="34"/>
      <c r="B12" s="34"/>
      <c r="C12" s="34"/>
      <c r="D12" s="34"/>
      <c r="E12" s="34"/>
      <c r="F12" s="128">
        <v>8</v>
      </c>
      <c r="G12" s="176"/>
      <c r="H12" s="171"/>
      <c r="I12" s="174"/>
      <c r="J12" s="56"/>
      <c r="K12" s="132"/>
      <c r="L12" s="57"/>
      <c r="M12" s="132"/>
      <c r="N12" s="57"/>
      <c r="O12" s="132"/>
      <c r="P12" s="57"/>
      <c r="Q12" s="132"/>
      <c r="R12" s="57"/>
      <c r="S12" s="34"/>
      <c r="V12" s="720" t="s">
        <v>784</v>
      </c>
      <c r="W12" s="721"/>
      <c r="X12" s="721"/>
      <c r="Y12" s="721"/>
      <c r="Z12" s="722"/>
    </row>
    <row r="13" spans="1:26" x14ac:dyDescent="0.2">
      <c r="A13" s="34"/>
      <c r="B13" s="397" t="s">
        <v>106</v>
      </c>
      <c r="C13" s="743" t="s">
        <v>107</v>
      </c>
      <c r="D13" s="744"/>
      <c r="E13" s="34"/>
      <c r="F13" s="128">
        <v>9</v>
      </c>
      <c r="G13" s="176"/>
      <c r="H13" s="171"/>
      <c r="I13" s="174"/>
      <c r="J13" s="56"/>
      <c r="K13" s="132"/>
      <c r="L13" s="57"/>
      <c r="M13" s="132"/>
      <c r="N13" s="57"/>
      <c r="O13" s="132"/>
      <c r="P13" s="57"/>
      <c r="Q13" s="132"/>
      <c r="R13" s="57"/>
      <c r="S13" s="34"/>
      <c r="V13" s="579">
        <v>1</v>
      </c>
      <c r="W13" s="578">
        <v>2</v>
      </c>
      <c r="X13" s="578">
        <v>3</v>
      </c>
      <c r="Y13" s="578">
        <v>4</v>
      </c>
      <c r="Z13" s="580">
        <v>5</v>
      </c>
    </row>
    <row r="14" spans="1:26" x14ac:dyDescent="0.2">
      <c r="A14" s="34"/>
      <c r="B14" s="123" t="str">
        <f>IF(C7="Whole-tree", "Felling_WT",IF(C7="Cut-to-length","Felling_CTL", "Felling_TL"))</f>
        <v>Felling_WT</v>
      </c>
      <c r="C14" s="755" t="s">
        <v>108</v>
      </c>
      <c r="D14" s="756"/>
      <c r="E14" s="34"/>
      <c r="F14" s="128">
        <v>10</v>
      </c>
      <c r="G14" s="176"/>
      <c r="H14" s="171">
        <v>26.7</v>
      </c>
      <c r="I14" s="174"/>
      <c r="J14" s="56"/>
      <c r="K14" s="132"/>
      <c r="L14" s="57"/>
      <c r="M14" s="132"/>
      <c r="N14" s="57"/>
      <c r="O14" s="132"/>
      <c r="P14" s="57"/>
      <c r="Q14" s="132"/>
      <c r="R14" s="57"/>
      <c r="S14" s="34"/>
      <c r="T14" s="723" t="s">
        <v>18</v>
      </c>
      <c r="U14" s="529" t="s">
        <v>647</v>
      </c>
      <c r="V14" s="513" t="s">
        <v>19</v>
      </c>
      <c r="W14" s="514" t="s">
        <v>20</v>
      </c>
      <c r="X14" s="514" t="s">
        <v>20</v>
      </c>
      <c r="Y14" s="514" t="s">
        <v>20</v>
      </c>
      <c r="Z14" s="515" t="s">
        <v>20</v>
      </c>
    </row>
    <row r="15" spans="1:26" x14ac:dyDescent="0.2">
      <c r="A15" s="34"/>
      <c r="B15" s="532" t="s">
        <v>109</v>
      </c>
      <c r="C15" s="754" t="s">
        <v>110</v>
      </c>
      <c r="D15" s="742"/>
      <c r="E15" s="34"/>
      <c r="F15" s="128">
        <v>11</v>
      </c>
      <c r="G15" s="176"/>
      <c r="H15" s="171"/>
      <c r="I15" s="174"/>
      <c r="J15" s="56"/>
      <c r="K15" s="132"/>
      <c r="L15" s="57"/>
      <c r="M15" s="132"/>
      <c r="N15" s="57"/>
      <c r="O15" s="132"/>
      <c r="P15" s="57"/>
      <c r="Q15" s="132"/>
      <c r="R15" s="57"/>
      <c r="S15" s="34"/>
      <c r="T15" s="724"/>
      <c r="U15" s="2" t="s">
        <v>648</v>
      </c>
      <c r="V15" s="374">
        <v>0</v>
      </c>
      <c r="W15" s="527" t="s">
        <v>22</v>
      </c>
      <c r="X15" s="528" t="s">
        <v>23</v>
      </c>
      <c r="Y15" s="528" t="s">
        <v>23</v>
      </c>
      <c r="Z15" s="373" t="s">
        <v>24</v>
      </c>
    </row>
    <row r="16" spans="1:26" x14ac:dyDescent="0.2">
      <c r="A16" s="34"/>
      <c r="B16" s="124" t="str">
        <f>IF(C7="Whole-tree", "Extraction_WT",IF(C7="Cut-to-length","Extraction_CTL", "Extraction_TL"))</f>
        <v>Extraction_WT</v>
      </c>
      <c r="C16" s="741" t="s">
        <v>111</v>
      </c>
      <c r="D16" s="742"/>
      <c r="E16" s="34"/>
      <c r="F16" s="128">
        <v>12</v>
      </c>
      <c r="G16" s="176"/>
      <c r="H16" s="171">
        <v>1</v>
      </c>
      <c r="I16" s="174"/>
      <c r="J16" s="56"/>
      <c r="K16" s="132"/>
      <c r="L16" s="57"/>
      <c r="M16" s="132"/>
      <c r="N16" s="57"/>
      <c r="O16" s="132"/>
      <c r="P16" s="57"/>
      <c r="Q16" s="132"/>
      <c r="R16" s="57"/>
      <c r="S16" s="34"/>
      <c r="T16" s="724"/>
      <c r="U16" s="2" t="s">
        <v>649</v>
      </c>
      <c r="V16" s="374">
        <v>0</v>
      </c>
      <c r="W16" s="15">
        <v>0</v>
      </c>
      <c r="X16" s="527" t="s">
        <v>22</v>
      </c>
      <c r="Y16" s="527" t="s">
        <v>22</v>
      </c>
      <c r="Z16" s="373" t="s">
        <v>20</v>
      </c>
    </row>
    <row r="17" spans="1:26" x14ac:dyDescent="0.2">
      <c r="A17" s="34"/>
      <c r="B17" s="124" t="s">
        <v>112</v>
      </c>
      <c r="C17" s="741" t="s">
        <v>113</v>
      </c>
      <c r="D17" s="742"/>
      <c r="E17" s="34"/>
      <c r="F17" s="128">
        <v>13</v>
      </c>
      <c r="G17" s="176"/>
      <c r="H17" s="171"/>
      <c r="I17" s="174"/>
      <c r="J17" s="56"/>
      <c r="K17" s="132"/>
      <c r="L17" s="57"/>
      <c r="M17" s="132"/>
      <c r="N17" s="57"/>
      <c r="O17" s="132"/>
      <c r="P17" s="57"/>
      <c r="Q17" s="132"/>
      <c r="R17" s="57"/>
      <c r="S17" s="34"/>
      <c r="T17" s="724"/>
      <c r="U17" s="2" t="s">
        <v>650</v>
      </c>
      <c r="V17" s="374">
        <v>0</v>
      </c>
      <c r="W17" s="15">
        <v>0</v>
      </c>
      <c r="X17" s="15">
        <v>0</v>
      </c>
      <c r="Y17" s="527" t="s">
        <v>22</v>
      </c>
      <c r="Z17" s="373" t="s">
        <v>20</v>
      </c>
    </row>
    <row r="18" spans="1:26" x14ac:dyDescent="0.2">
      <c r="A18" s="34"/>
      <c r="B18" s="124" t="s">
        <v>114</v>
      </c>
      <c r="C18" s="748" t="s">
        <v>115</v>
      </c>
      <c r="D18" s="749"/>
      <c r="E18" s="34"/>
      <c r="F18" s="128">
        <v>14</v>
      </c>
      <c r="G18" s="176"/>
      <c r="H18" s="171">
        <v>9.6999999999999993</v>
      </c>
      <c r="I18" s="174"/>
      <c r="J18" s="56"/>
      <c r="K18" s="132"/>
      <c r="L18" s="57"/>
      <c r="M18" s="132"/>
      <c r="N18" s="57"/>
      <c r="O18" s="132"/>
      <c r="P18" s="57"/>
      <c r="Q18" s="132"/>
      <c r="R18" s="57"/>
      <c r="S18" s="34"/>
      <c r="T18" s="725"/>
      <c r="U18" s="504" t="s">
        <v>651</v>
      </c>
      <c r="V18" s="517">
        <v>0</v>
      </c>
      <c r="W18" s="335">
        <v>0</v>
      </c>
      <c r="X18" s="335">
        <v>0</v>
      </c>
      <c r="Y18" s="335">
        <v>0</v>
      </c>
      <c r="Z18" s="521" t="s">
        <v>28</v>
      </c>
    </row>
    <row r="19" spans="1:26" ht="16" thickBot="1" x14ac:dyDescent="0.25">
      <c r="A19" s="34"/>
      <c r="B19" s="398" t="s">
        <v>116</v>
      </c>
      <c r="C19" s="735" t="s">
        <v>117</v>
      </c>
      <c r="D19" s="736"/>
      <c r="E19" s="34"/>
      <c r="F19" s="128">
        <v>15</v>
      </c>
      <c r="G19" s="176"/>
      <c r="H19" s="171"/>
      <c r="I19" s="174"/>
      <c r="J19" s="56"/>
      <c r="K19" s="132"/>
      <c r="L19" s="57"/>
      <c r="M19" s="132"/>
      <c r="N19" s="57"/>
      <c r="O19" s="132"/>
      <c r="P19" s="57"/>
      <c r="Q19" s="132"/>
      <c r="R19" s="57"/>
      <c r="S19" s="34"/>
      <c r="Y19" s="126" t="s">
        <v>30</v>
      </c>
    </row>
    <row r="20" spans="1:26" ht="16" thickBot="1" x14ac:dyDescent="0.25">
      <c r="A20" s="34"/>
      <c r="B20" s="34"/>
      <c r="C20" s="34"/>
      <c r="D20" s="34"/>
      <c r="E20" s="34"/>
      <c r="F20" s="128">
        <v>16</v>
      </c>
      <c r="G20" s="176"/>
      <c r="H20" s="171"/>
      <c r="I20" s="174"/>
      <c r="J20" s="56"/>
      <c r="K20" s="132"/>
      <c r="L20" s="57"/>
      <c r="M20" s="132"/>
      <c r="N20" s="57"/>
      <c r="O20" s="132"/>
      <c r="P20" s="57"/>
      <c r="Q20" s="132"/>
      <c r="R20" s="57"/>
      <c r="S20" s="34"/>
    </row>
    <row r="21" spans="1:26" ht="16" thickBot="1" x14ac:dyDescent="0.25">
      <c r="A21" s="34"/>
      <c r="B21" s="733" t="s">
        <v>118</v>
      </c>
      <c r="C21" s="734"/>
      <c r="D21" s="446" t="s">
        <v>119</v>
      </c>
      <c r="E21" s="34"/>
      <c r="F21" s="128">
        <v>17</v>
      </c>
      <c r="G21" s="176"/>
      <c r="H21" s="171"/>
      <c r="I21" s="174"/>
      <c r="J21" s="56"/>
      <c r="K21" s="132"/>
      <c r="L21" s="57"/>
      <c r="M21" s="132"/>
      <c r="N21" s="57"/>
      <c r="O21" s="132"/>
      <c r="P21" s="57"/>
      <c r="Q21" s="132"/>
      <c r="R21" s="57"/>
      <c r="S21" s="34"/>
    </row>
    <row r="22" spans="1:26" x14ac:dyDescent="0.2">
      <c r="A22" s="34"/>
      <c r="B22" s="397" t="s">
        <v>120</v>
      </c>
      <c r="C22" s="743" t="s">
        <v>107</v>
      </c>
      <c r="D22" s="744"/>
      <c r="E22" s="34"/>
      <c r="F22" s="128">
        <v>18</v>
      </c>
      <c r="G22" s="176"/>
      <c r="H22" s="171">
        <v>3.6</v>
      </c>
      <c r="I22" s="174"/>
      <c r="J22" s="56"/>
      <c r="K22" s="132"/>
      <c r="L22" s="57"/>
      <c r="M22" s="132"/>
      <c r="N22" s="57"/>
      <c r="O22" s="132"/>
      <c r="P22" s="57"/>
      <c r="Q22" s="132"/>
      <c r="R22" s="57"/>
      <c r="S22" s="34"/>
    </row>
    <row r="23" spans="1:26" x14ac:dyDescent="0.2">
      <c r="A23" s="34"/>
      <c r="B23" s="123" t="str">
        <f>IF(C7="Whole-Tree","Loading", "No biomass harvesting")</f>
        <v>Loading</v>
      </c>
      <c r="C23" s="739" t="str">
        <f>IF(OR(C7="Cut-to-Length",C7="Tree-length"),"None",IF(D21="Yes", "Loader", "None"))</f>
        <v>Loader</v>
      </c>
      <c r="D23" s="740"/>
      <c r="E23" s="34"/>
      <c r="F23" s="128">
        <v>19</v>
      </c>
      <c r="G23" s="176"/>
      <c r="H23" s="171"/>
      <c r="I23" s="174"/>
      <c r="J23" s="56"/>
      <c r="K23" s="132"/>
      <c r="L23" s="57"/>
      <c r="M23" s="132"/>
      <c r="N23" s="57"/>
      <c r="O23" s="132"/>
      <c r="P23" s="57"/>
      <c r="Q23" s="132"/>
      <c r="R23" s="57"/>
      <c r="S23" s="34"/>
    </row>
    <row r="24" spans="1:26" x14ac:dyDescent="0.2">
      <c r="A24" s="34"/>
      <c r="B24" s="124" t="str">
        <f>IF(C7="Whole-Tree","Chipping &amp; Grinding", "No biomass harvesting")</f>
        <v>Chipping &amp; Grinding</v>
      </c>
      <c r="C24" s="741" t="s">
        <v>645</v>
      </c>
      <c r="D24" s="742"/>
      <c r="E24" s="34"/>
      <c r="F24" s="128">
        <v>20</v>
      </c>
      <c r="G24" s="176"/>
      <c r="H24" s="171"/>
      <c r="I24" s="174"/>
      <c r="J24" s="56"/>
      <c r="K24" s="132"/>
      <c r="L24" s="57"/>
      <c r="M24" s="132"/>
      <c r="N24" s="57"/>
      <c r="O24" s="132"/>
      <c r="P24" s="57"/>
      <c r="Q24" s="132"/>
      <c r="R24" s="57"/>
      <c r="S24" s="34"/>
    </row>
    <row r="25" spans="1:26" ht="16" thickBot="1" x14ac:dyDescent="0.25">
      <c r="A25" s="34"/>
      <c r="B25" s="399" t="str">
        <f>IF(C7="Whole-Tree","Transportation", "No biomass harvesting")</f>
        <v>Transportation</v>
      </c>
      <c r="C25" s="735" t="str">
        <f>IF(OR(C7="Cut-to-Length",C7="Tree-length"),"None",IF(D21="Yes", "Chip van", "None"))</f>
        <v>Chip van</v>
      </c>
      <c r="D25" s="736"/>
      <c r="E25" s="34"/>
      <c r="F25" s="128">
        <v>21</v>
      </c>
      <c r="G25" s="176"/>
      <c r="H25" s="171"/>
      <c r="I25" s="174"/>
      <c r="J25" s="56"/>
      <c r="K25" s="132"/>
      <c r="L25" s="57"/>
      <c r="M25" s="132"/>
      <c r="N25" s="57"/>
      <c r="O25" s="132"/>
      <c r="P25" s="57"/>
      <c r="Q25" s="132"/>
      <c r="R25" s="57"/>
      <c r="S25" s="34"/>
    </row>
    <row r="26" spans="1:26" ht="16" thickBot="1" x14ac:dyDescent="0.25">
      <c r="A26" s="34"/>
      <c r="B26" s="34"/>
      <c r="C26" s="34"/>
      <c r="D26" s="34"/>
      <c r="E26" s="34"/>
      <c r="F26" s="128">
        <v>22</v>
      </c>
      <c r="G26" s="176"/>
      <c r="H26" s="171">
        <v>3.6</v>
      </c>
      <c r="I26" s="174"/>
      <c r="J26" s="56"/>
      <c r="K26" s="132"/>
      <c r="L26" s="57"/>
      <c r="M26" s="132"/>
      <c r="N26" s="57"/>
      <c r="O26" s="132"/>
      <c r="P26" s="57"/>
      <c r="Q26" s="132"/>
      <c r="R26" s="57"/>
      <c r="S26" s="34"/>
    </row>
    <row r="27" spans="1:26" ht="16" x14ac:dyDescent="0.2">
      <c r="A27" s="34"/>
      <c r="B27" s="192" t="s">
        <v>121</v>
      </c>
      <c r="C27" s="581">
        <f>SUM(G40,I40,K40,M40,O40,Q40)</f>
        <v>0</v>
      </c>
      <c r="D27" s="185" t="s">
        <v>122</v>
      </c>
      <c r="E27" s="34"/>
      <c r="F27" s="128">
        <v>23</v>
      </c>
      <c r="G27" s="176"/>
      <c r="H27" s="171"/>
      <c r="I27" s="174"/>
      <c r="J27" s="56"/>
      <c r="K27" s="132"/>
      <c r="L27" s="57"/>
      <c r="M27" s="132"/>
      <c r="N27" s="57"/>
      <c r="O27" s="132"/>
      <c r="P27" s="57"/>
      <c r="Q27" s="132"/>
      <c r="R27" s="57"/>
      <c r="S27" s="34"/>
    </row>
    <row r="28" spans="1:26" ht="16" x14ac:dyDescent="0.2">
      <c r="A28" s="34"/>
      <c r="B28" s="193" t="s">
        <v>123</v>
      </c>
      <c r="C28" s="582">
        <f>SUM(G41,I41,K41,M41,O41,Q41)</f>
        <v>-170.09999999999997</v>
      </c>
      <c r="D28" s="165" t="s">
        <v>122</v>
      </c>
      <c r="E28" s="34"/>
      <c r="F28" s="128">
        <v>24</v>
      </c>
      <c r="G28" s="176"/>
      <c r="H28" s="171"/>
      <c r="I28" s="174"/>
      <c r="J28" s="56"/>
      <c r="K28" s="132"/>
      <c r="L28" s="57"/>
      <c r="M28" s="132"/>
      <c r="N28" s="57"/>
      <c r="O28" s="132"/>
      <c r="P28" s="57"/>
      <c r="Q28" s="132"/>
      <c r="R28" s="57"/>
      <c r="S28" s="34"/>
    </row>
    <row r="29" spans="1:26" ht="16" x14ac:dyDescent="0.2">
      <c r="A29" s="34"/>
      <c r="B29" s="193" t="s">
        <v>802</v>
      </c>
      <c r="C29" s="583">
        <f>SUM(G42:R42)</f>
        <v>1280.6269468778037</v>
      </c>
      <c r="D29" s="165" t="s">
        <v>124</v>
      </c>
      <c r="E29" s="34"/>
      <c r="F29" s="128">
        <v>25</v>
      </c>
      <c r="G29" s="176"/>
      <c r="H29" s="171"/>
      <c r="I29" s="174"/>
      <c r="J29" s="56"/>
      <c r="K29" s="132"/>
      <c r="L29" s="57"/>
      <c r="M29" s="132"/>
      <c r="N29" s="57"/>
      <c r="O29" s="132"/>
      <c r="P29" s="57"/>
      <c r="Q29" s="132"/>
      <c r="R29" s="57"/>
      <c r="S29" s="34"/>
    </row>
    <row r="30" spans="1:26" ht="16" x14ac:dyDescent="0.2">
      <c r="A30" s="34"/>
      <c r="B30" s="193" t="s">
        <v>803</v>
      </c>
      <c r="C30" s="583">
        <f>SUM(G43:R43)</f>
        <v>30.379234418603609</v>
      </c>
      <c r="D30" s="165" t="s">
        <v>125</v>
      </c>
      <c r="E30" s="34"/>
      <c r="F30" s="128">
        <v>26</v>
      </c>
      <c r="G30" s="283"/>
      <c r="H30" s="284">
        <v>0</v>
      </c>
      <c r="I30" s="174"/>
      <c r="J30" s="56"/>
      <c r="K30" s="132"/>
      <c r="L30" s="57"/>
      <c r="M30" s="132"/>
      <c r="N30" s="57"/>
      <c r="O30" s="132"/>
      <c r="P30" s="57"/>
      <c r="Q30" s="132"/>
      <c r="R30" s="57"/>
      <c r="S30" s="34"/>
    </row>
    <row r="31" spans="1:26" ht="17" thickBot="1" x14ac:dyDescent="0.25">
      <c r="A31" s="34"/>
      <c r="B31" s="194" t="s">
        <v>807</v>
      </c>
      <c r="C31" s="584">
        <f>SUM(G44:R44)</f>
        <v>12.424403594070265</v>
      </c>
      <c r="D31" s="186" t="s">
        <v>125</v>
      </c>
      <c r="E31" s="34"/>
      <c r="F31" s="128">
        <v>27</v>
      </c>
      <c r="G31" s="283"/>
      <c r="H31" s="284"/>
      <c r="I31" s="174"/>
      <c r="J31" s="56"/>
      <c r="K31" s="132"/>
      <c r="L31" s="57"/>
      <c r="M31" s="132"/>
      <c r="N31" s="57"/>
      <c r="O31" s="132"/>
      <c r="P31" s="57"/>
      <c r="Q31" s="132"/>
      <c r="R31" s="57"/>
      <c r="S31" s="34"/>
    </row>
    <row r="32" spans="1:26" x14ac:dyDescent="0.2">
      <c r="A32" s="34"/>
      <c r="B32" s="34"/>
      <c r="C32" s="34"/>
      <c r="D32" s="34"/>
      <c r="E32" s="34"/>
      <c r="F32" s="128">
        <v>28</v>
      </c>
      <c r="G32" s="283"/>
      <c r="H32" s="284"/>
      <c r="I32" s="174"/>
      <c r="J32" s="56"/>
      <c r="K32" s="132"/>
      <c r="L32" s="57"/>
      <c r="M32" s="132"/>
      <c r="N32" s="57"/>
      <c r="O32" s="132"/>
      <c r="P32" s="57"/>
      <c r="Q32" s="132"/>
      <c r="R32" s="57"/>
      <c r="S32" s="34"/>
    </row>
    <row r="33" spans="1:19" ht="14.5" customHeight="1" x14ac:dyDescent="0.2">
      <c r="A33" s="34"/>
      <c r="B33" s="34"/>
      <c r="C33" s="34"/>
      <c r="D33" s="34"/>
      <c r="E33" s="34"/>
      <c r="F33" s="128">
        <v>29</v>
      </c>
      <c r="G33" s="283"/>
      <c r="H33" s="284"/>
      <c r="I33" s="174"/>
      <c r="J33" s="56"/>
      <c r="K33" s="132"/>
      <c r="L33" s="57"/>
      <c r="M33" s="132"/>
      <c r="N33" s="57"/>
      <c r="O33" s="132"/>
      <c r="P33" s="57"/>
      <c r="Q33" s="132"/>
      <c r="R33" s="57"/>
      <c r="S33" s="34"/>
    </row>
    <row r="34" spans="1:19" x14ac:dyDescent="0.2">
      <c r="A34" s="34"/>
      <c r="B34" s="34"/>
      <c r="C34" s="34"/>
      <c r="D34" s="34"/>
      <c r="E34" s="34"/>
      <c r="F34" s="128">
        <v>30</v>
      </c>
      <c r="G34" s="283"/>
      <c r="H34" s="284">
        <v>0</v>
      </c>
      <c r="I34" s="174"/>
      <c r="J34" s="56"/>
      <c r="K34" s="132"/>
      <c r="L34" s="57"/>
      <c r="M34" s="132"/>
      <c r="N34" s="57"/>
      <c r="O34" s="132"/>
      <c r="P34" s="57"/>
      <c r="Q34" s="132"/>
      <c r="R34" s="57"/>
      <c r="S34" s="34"/>
    </row>
    <row r="35" spans="1:19" x14ac:dyDescent="0.2">
      <c r="A35" s="34"/>
      <c r="B35" s="34"/>
      <c r="C35" s="34"/>
      <c r="D35" s="34"/>
      <c r="E35" s="34"/>
      <c r="F35" s="128">
        <v>31</v>
      </c>
      <c r="G35" s="283"/>
      <c r="H35" s="284"/>
      <c r="I35" s="174"/>
      <c r="J35" s="56"/>
      <c r="K35" s="132"/>
      <c r="L35" s="57"/>
      <c r="M35" s="132"/>
      <c r="N35" s="57"/>
      <c r="O35" s="132"/>
      <c r="P35" s="57"/>
      <c r="Q35" s="132"/>
      <c r="R35" s="57"/>
      <c r="S35" s="34"/>
    </row>
    <row r="36" spans="1:19" x14ac:dyDescent="0.2">
      <c r="A36" s="34"/>
      <c r="B36" s="34"/>
      <c r="C36" s="34"/>
      <c r="D36" s="34"/>
      <c r="E36" s="34"/>
      <c r="F36" s="128">
        <v>32</v>
      </c>
      <c r="G36" s="283"/>
      <c r="H36" s="284"/>
      <c r="I36" s="174"/>
      <c r="J36" s="56"/>
      <c r="K36" s="132"/>
      <c r="L36" s="57"/>
      <c r="M36" s="132"/>
      <c r="N36" s="57"/>
      <c r="O36" s="132"/>
      <c r="P36" s="57"/>
      <c r="Q36" s="132"/>
      <c r="R36" s="57"/>
      <c r="S36" s="34"/>
    </row>
    <row r="37" spans="1:19" x14ac:dyDescent="0.2">
      <c r="A37" s="34"/>
      <c r="B37" s="34"/>
      <c r="C37" s="34"/>
      <c r="D37" s="34"/>
      <c r="E37" s="34"/>
      <c r="F37" s="128">
        <v>33</v>
      </c>
      <c r="G37" s="283"/>
      <c r="H37" s="284">
        <v>0</v>
      </c>
      <c r="I37" s="174"/>
      <c r="J37" s="56"/>
      <c r="K37" s="132"/>
      <c r="L37" s="57"/>
      <c r="M37" s="132"/>
      <c r="N37" s="57"/>
      <c r="O37" s="132"/>
      <c r="P37" s="57"/>
      <c r="Q37" s="132"/>
      <c r="R37" s="57"/>
      <c r="S37" s="34"/>
    </row>
    <row r="38" spans="1:19" x14ac:dyDescent="0.2">
      <c r="A38" s="34"/>
      <c r="B38" s="34"/>
      <c r="C38" s="34"/>
      <c r="D38" s="34"/>
      <c r="E38" s="34"/>
      <c r="F38" s="128">
        <v>34</v>
      </c>
      <c r="G38" s="132"/>
      <c r="H38" s="57"/>
      <c r="I38" s="132"/>
      <c r="J38" s="56"/>
      <c r="K38" s="132"/>
      <c r="L38" s="57"/>
      <c r="M38" s="132"/>
      <c r="N38" s="57"/>
      <c r="O38" s="132"/>
      <c r="P38" s="57"/>
      <c r="Q38" s="132"/>
      <c r="R38" s="57"/>
      <c r="S38" s="34"/>
    </row>
    <row r="39" spans="1:19" ht="14.25" customHeight="1" thickBot="1" x14ac:dyDescent="0.25">
      <c r="A39" s="34"/>
      <c r="B39" s="34"/>
      <c r="C39" s="34"/>
      <c r="D39" s="34"/>
      <c r="E39" s="34"/>
      <c r="F39" s="128">
        <v>35</v>
      </c>
      <c r="G39" s="176"/>
      <c r="H39" s="171"/>
      <c r="I39" s="174"/>
      <c r="J39" s="56"/>
      <c r="K39" s="132"/>
      <c r="L39" s="57"/>
      <c r="M39" s="132"/>
      <c r="N39" s="57"/>
      <c r="O39" s="132"/>
      <c r="P39" s="57"/>
      <c r="Q39" s="132"/>
      <c r="R39" s="57"/>
      <c r="S39" s="34"/>
    </row>
    <row r="40" spans="1:19" ht="20" customHeight="1" x14ac:dyDescent="0.2">
      <c r="A40" s="34"/>
      <c r="B40" s="34"/>
      <c r="C40" s="34"/>
      <c r="D40" s="737" t="s">
        <v>126</v>
      </c>
      <c r="E40" s="738"/>
      <c r="F40" s="738"/>
      <c r="G40" s="585">
        <f t="shared" ref="G40:R40" si="0">SUM(G7:G39)</f>
        <v>0</v>
      </c>
      <c r="H40" s="585">
        <f t="shared" si="0"/>
        <v>170.09999999999997</v>
      </c>
      <c r="I40" s="585">
        <f t="shared" si="0"/>
        <v>0</v>
      </c>
      <c r="J40" s="585">
        <f t="shared" si="0"/>
        <v>0</v>
      </c>
      <c r="K40" s="585">
        <f t="shared" si="0"/>
        <v>0</v>
      </c>
      <c r="L40" s="585">
        <f t="shared" si="0"/>
        <v>0</v>
      </c>
      <c r="M40" s="585">
        <f t="shared" si="0"/>
        <v>0</v>
      </c>
      <c r="N40" s="585">
        <f t="shared" si="0"/>
        <v>0</v>
      </c>
      <c r="O40" s="585">
        <f t="shared" si="0"/>
        <v>0</v>
      </c>
      <c r="P40" s="586">
        <f t="shared" si="0"/>
        <v>0</v>
      </c>
      <c r="Q40" s="585">
        <f t="shared" si="0"/>
        <v>0</v>
      </c>
      <c r="R40" s="586">
        <f t="shared" si="0"/>
        <v>0</v>
      </c>
      <c r="S40" s="34"/>
    </row>
    <row r="41" spans="1:19" ht="20" customHeight="1" x14ac:dyDescent="0.2">
      <c r="A41" s="34"/>
      <c r="B41" s="34"/>
      <c r="C41" s="34"/>
      <c r="D41" s="731" t="s">
        <v>127</v>
      </c>
      <c r="E41" s="732"/>
      <c r="F41" s="732"/>
      <c r="G41" s="716">
        <f>G40-H40</f>
        <v>-170.09999999999997</v>
      </c>
      <c r="H41" s="726"/>
      <c r="I41" s="716">
        <f>I40-J40</f>
        <v>0</v>
      </c>
      <c r="J41" s="726"/>
      <c r="K41" s="716">
        <f>K40-L40</f>
        <v>0</v>
      </c>
      <c r="L41" s="726"/>
      <c r="M41" s="716">
        <f>M40-N40</f>
        <v>0</v>
      </c>
      <c r="N41" s="726"/>
      <c r="O41" s="716">
        <f>O40-P40</f>
        <v>0</v>
      </c>
      <c r="P41" s="717"/>
      <c r="Q41" s="716">
        <f>Q40-R40</f>
        <v>0</v>
      </c>
      <c r="R41" s="717"/>
      <c r="S41" s="34"/>
    </row>
    <row r="42" spans="1:19" ht="20" customHeight="1" x14ac:dyDescent="0.2">
      <c r="A42" s="34"/>
      <c r="B42" s="34"/>
      <c r="C42" s="34"/>
      <c r="D42" s="731" t="s">
        <v>806</v>
      </c>
      <c r="E42" s="732"/>
      <c r="F42" s="732"/>
      <c r="G42" s="716">
        <f>IF(C8=4,'Tree volume estimation'!D102,'Tree volume estimation'!D146)</f>
        <v>1280.6269468778037</v>
      </c>
      <c r="H42" s="726"/>
      <c r="I42" s="716">
        <f>IF(C8=4,'Tree volume estimation'!J102,'Tree volume estimation'!J146)</f>
        <v>0</v>
      </c>
      <c r="J42" s="726"/>
      <c r="K42" s="716">
        <f>IF(C8=4,'Tree volume estimation'!P102,'Tree volume estimation'!P146)</f>
        <v>0</v>
      </c>
      <c r="L42" s="726"/>
      <c r="M42" s="716">
        <f>IF(C8=4,'Tree volume estimation'!V102,'Tree volume estimation'!V146)</f>
        <v>0</v>
      </c>
      <c r="N42" s="726"/>
      <c r="O42" s="716">
        <f>IF(C8=4,'Tree volume estimation'!AB102,'Tree volume estimation'!AB146)</f>
        <v>0</v>
      </c>
      <c r="P42" s="717"/>
      <c r="Q42" s="716">
        <f>IF(C8=4,'Tree volume estimation'!AH102,'Tree volume estimation'!AH146)</f>
        <v>0</v>
      </c>
      <c r="R42" s="717"/>
      <c r="S42" s="34"/>
    </row>
    <row r="43" spans="1:19" ht="20" customHeight="1" x14ac:dyDescent="0.2">
      <c r="A43" s="34"/>
      <c r="B43" s="34"/>
      <c r="C43" s="34"/>
      <c r="D43" s="731" t="s">
        <v>805</v>
      </c>
      <c r="E43" s="732"/>
      <c r="F43" s="732"/>
      <c r="G43" s="716">
        <f>IF(C8=4,'Tree volume estimation'!F102,'Tree volume estimation'!F146)</f>
        <v>30.379234418603609</v>
      </c>
      <c r="H43" s="726"/>
      <c r="I43" s="716">
        <f>IF(C8=4,'Tree volume estimation'!L102,'Tree volume estimation'!L146)</f>
        <v>0</v>
      </c>
      <c r="J43" s="726"/>
      <c r="K43" s="716">
        <f>IF(C8=4,'Tree volume estimation'!R102,'Tree volume estimation'!R146)</f>
        <v>0</v>
      </c>
      <c r="L43" s="726"/>
      <c r="M43" s="716">
        <f>IF(C8=4,'Tree volume estimation'!X102,'Tree volume estimation'!X146)</f>
        <v>0</v>
      </c>
      <c r="N43" s="726"/>
      <c r="O43" s="716">
        <f>IF(C8=4,'Tree volume estimation'!AD102,'Tree volume estimation'!AD146)</f>
        <v>0</v>
      </c>
      <c r="P43" s="717"/>
      <c r="Q43" s="716">
        <f>IF(C8=4,'Tree volume estimation'!AJ102,'Tree volume estimation'!AJ146)</f>
        <v>0</v>
      </c>
      <c r="R43" s="717"/>
      <c r="S43" s="34"/>
    </row>
    <row r="44" spans="1:19" ht="20" customHeight="1" thickBot="1" x14ac:dyDescent="0.25">
      <c r="A44" s="34"/>
      <c r="B44" s="34"/>
      <c r="C44" s="34"/>
      <c r="D44" s="745" t="s">
        <v>804</v>
      </c>
      <c r="E44" s="746"/>
      <c r="F44" s="746"/>
      <c r="G44" s="718">
        <f>IF(C8=4,'Tree volume estimation'!D103,'Tree volume estimation'!D147)</f>
        <v>12.424403594070265</v>
      </c>
      <c r="H44" s="747"/>
      <c r="I44" s="718">
        <f>IF(C13=4,'Tree volume estimation'!J103,'Tree volume estimation'!J147)</f>
        <v>0</v>
      </c>
      <c r="J44" s="747"/>
      <c r="K44" s="718">
        <f>IF(C13=4,'Tree volume estimation'!P103,'Tree volume estimation'!P147)</f>
        <v>0</v>
      </c>
      <c r="L44" s="747"/>
      <c r="M44" s="718">
        <f>IF(C13=4,'Tree volume estimation'!V103,'Tree volume estimation'!V147)</f>
        <v>0</v>
      </c>
      <c r="N44" s="747"/>
      <c r="O44" s="718">
        <f>IF(C13=4,'Tree volume estimation'!AB103,'Tree volume estimation'!AB147)</f>
        <v>0</v>
      </c>
      <c r="P44" s="719"/>
      <c r="Q44" s="718">
        <f>IF(E13=4,'Tree volume estimation'!AH103,'Tree volume estimation'!AJ147)</f>
        <v>0</v>
      </c>
      <c r="R44" s="719"/>
      <c r="S44" s="34"/>
    </row>
    <row r="45" spans="1:19" ht="20" customHeight="1" x14ac:dyDescent="0.2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</row>
    <row r="46" spans="1:19" ht="20" customHeight="1" x14ac:dyDescent="0.2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</row>
    <row r="47" spans="1:19" ht="20.25" customHeight="1" x14ac:dyDescent="0.2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</row>
    <row r="48" spans="1:19" ht="20.25" customHeight="1" x14ac:dyDescent="0.2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</row>
    <row r="49" spans="1:13" ht="15.75" hidden="1" customHeight="1" x14ac:dyDescent="0.2">
      <c r="A49"/>
      <c r="B49"/>
      <c r="C49"/>
      <c r="D49"/>
      <c r="E49"/>
      <c r="F49"/>
      <c r="G49" t="s">
        <v>128</v>
      </c>
      <c r="H49" t="s">
        <v>129</v>
      </c>
      <c r="I49"/>
      <c r="J49"/>
    </row>
    <row r="50" spans="1:13" ht="15.75" hidden="1" customHeight="1" x14ac:dyDescent="0.2">
      <c r="A50"/>
      <c r="B50"/>
      <c r="C50"/>
      <c r="D50" t="s">
        <v>130</v>
      </c>
      <c r="E50"/>
      <c r="F50" t="s">
        <v>131</v>
      </c>
      <c r="G50">
        <v>1</v>
      </c>
      <c r="H50" t="s">
        <v>119</v>
      </c>
      <c r="I50"/>
      <c r="J50"/>
    </row>
    <row r="51" spans="1:13" ht="15.75" hidden="1" customHeight="1" x14ac:dyDescent="0.2">
      <c r="A51"/>
      <c r="B51"/>
      <c r="C51"/>
      <c r="D51" t="s">
        <v>704</v>
      </c>
      <c r="E51"/>
      <c r="F51">
        <v>0</v>
      </c>
      <c r="G51">
        <v>2</v>
      </c>
      <c r="H51" t="s">
        <v>110</v>
      </c>
      <c r="I51"/>
      <c r="J51"/>
    </row>
    <row r="52" spans="1:13" ht="15.75" hidden="1" customHeight="1" x14ac:dyDescent="0.2">
      <c r="A52"/>
      <c r="B52"/>
      <c r="C52"/>
      <c r="D52" t="s">
        <v>703</v>
      </c>
      <c r="E52"/>
      <c r="F52">
        <v>4</v>
      </c>
      <c r="G52">
        <v>3</v>
      </c>
      <c r="H52"/>
      <c r="I52"/>
      <c r="J52"/>
    </row>
    <row r="53" spans="1:13" ht="15.75" hidden="1" customHeight="1" x14ac:dyDescent="0.2">
      <c r="A53"/>
      <c r="B53"/>
      <c r="C53"/>
      <c r="D53" t="s">
        <v>705</v>
      </c>
      <c r="E53"/>
      <c r="F53">
        <v>6</v>
      </c>
      <c r="G53">
        <v>4</v>
      </c>
      <c r="H53"/>
      <c r="I53"/>
      <c r="J53"/>
    </row>
    <row r="54" spans="1:13" ht="15.75" hidden="1" customHeight="1" x14ac:dyDescent="0.2">
      <c r="A54"/>
      <c r="C54"/>
      <c r="D54"/>
      <c r="E54"/>
      <c r="F54"/>
      <c r="G54">
        <v>5</v>
      </c>
      <c r="H54"/>
      <c r="I54"/>
      <c r="J54"/>
    </row>
    <row r="55" spans="1:13" ht="15.75" hidden="1" customHeight="1" x14ac:dyDescent="0.2">
      <c r="A55"/>
      <c r="B55" s="126" t="s">
        <v>132</v>
      </c>
      <c r="C55" s="126" t="s">
        <v>103</v>
      </c>
      <c r="D55" t="s">
        <v>119</v>
      </c>
      <c r="E55"/>
      <c r="F55"/>
      <c r="G55"/>
      <c r="H55"/>
      <c r="I55"/>
      <c r="J55"/>
    </row>
    <row r="56" spans="1:13" ht="15.75" hidden="1" customHeight="1" x14ac:dyDescent="0.2">
      <c r="A56"/>
      <c r="C56" s="126" t="s">
        <v>133</v>
      </c>
      <c r="D56" t="s">
        <v>134</v>
      </c>
      <c r="E56" t="s">
        <v>706</v>
      </c>
      <c r="F56" t="s">
        <v>707</v>
      </c>
      <c r="G56"/>
      <c r="J56"/>
    </row>
    <row r="57" spans="1:13" ht="15.75" hidden="1" customHeight="1" x14ac:dyDescent="0.2">
      <c r="A57"/>
      <c r="D57"/>
      <c r="E57" t="s">
        <v>135</v>
      </c>
      <c r="F57" t="s">
        <v>653</v>
      </c>
      <c r="G57"/>
      <c r="J57"/>
    </row>
    <row r="58" spans="1:13" ht="15.75" hidden="1" customHeight="1" x14ac:dyDescent="0.2">
      <c r="A58"/>
      <c r="B58"/>
      <c r="C58"/>
      <c r="D58" t="s">
        <v>119</v>
      </c>
      <c r="E58" t="s">
        <v>702</v>
      </c>
      <c r="F58" s="126" t="s">
        <v>111</v>
      </c>
      <c r="G58"/>
      <c r="J58"/>
    </row>
    <row r="59" spans="1:13" ht="15.75" hidden="1" customHeight="1" x14ac:dyDescent="0.2">
      <c r="A59"/>
      <c r="B59"/>
      <c r="D59" t="s">
        <v>110</v>
      </c>
      <c r="E59" t="s">
        <v>108</v>
      </c>
      <c r="F59" t="s">
        <v>136</v>
      </c>
      <c r="G59"/>
      <c r="J59"/>
    </row>
    <row r="60" spans="1:13" ht="15.75" hidden="1" customHeight="1" x14ac:dyDescent="0.2">
      <c r="A60"/>
      <c r="B60"/>
      <c r="C60"/>
      <c r="D60"/>
      <c r="E60"/>
      <c r="F60"/>
      <c r="G60"/>
      <c r="H60"/>
      <c r="I60"/>
      <c r="J60"/>
    </row>
    <row r="61" spans="1:13" ht="15.75" hidden="1" customHeight="1" x14ac:dyDescent="0.2">
      <c r="A61"/>
      <c r="B61"/>
      <c r="C61"/>
      <c r="D61"/>
      <c r="E61" t="s">
        <v>137</v>
      </c>
      <c r="F61" t="s">
        <v>138</v>
      </c>
      <c r="G61" t="s">
        <v>139</v>
      </c>
      <c r="H61" t="s">
        <v>140</v>
      </c>
      <c r="I61" t="s">
        <v>141</v>
      </c>
      <c r="J61" t="s">
        <v>142</v>
      </c>
      <c r="K61" s="126" t="s">
        <v>143</v>
      </c>
      <c r="L61" t="s">
        <v>144</v>
      </c>
      <c r="M61" s="126" t="s">
        <v>145</v>
      </c>
    </row>
    <row r="62" spans="1:13" ht="15.75" hidden="1" customHeight="1" x14ac:dyDescent="0.2">
      <c r="A62"/>
      <c r="B62" t="s">
        <v>145</v>
      </c>
      <c r="C62" t="s">
        <v>113</v>
      </c>
      <c r="D62"/>
      <c r="E62" t="s">
        <v>135</v>
      </c>
      <c r="F62" t="s">
        <v>146</v>
      </c>
      <c r="G62" t="s">
        <v>135</v>
      </c>
      <c r="H62" t="s">
        <v>653</v>
      </c>
      <c r="I62" t="s">
        <v>147</v>
      </c>
      <c r="J62" t="s">
        <v>653</v>
      </c>
      <c r="K62" t="s">
        <v>137</v>
      </c>
      <c r="L62" t="s">
        <v>140</v>
      </c>
    </row>
    <row r="63" spans="1:13" ht="15.75" hidden="1" customHeight="1" x14ac:dyDescent="0.2">
      <c r="A63"/>
      <c r="B63"/>
      <c r="C63" s="126" t="s">
        <v>148</v>
      </c>
      <c r="D63" s="126" t="s">
        <v>115</v>
      </c>
      <c r="E63" t="s">
        <v>702</v>
      </c>
      <c r="F63"/>
      <c r="G63"/>
      <c r="H63" s="126" t="s">
        <v>111</v>
      </c>
      <c r="J63" s="126" t="s">
        <v>111</v>
      </c>
      <c r="K63" t="s">
        <v>138</v>
      </c>
      <c r="L63" t="s">
        <v>141</v>
      </c>
    </row>
    <row r="64" spans="1:13" ht="15.75" hidden="1" customHeight="1" x14ac:dyDescent="0.2">
      <c r="A64"/>
      <c r="C64" t="s">
        <v>134</v>
      </c>
      <c r="D64" t="s">
        <v>134</v>
      </c>
      <c r="E64" t="s">
        <v>108</v>
      </c>
      <c r="F64"/>
      <c r="G64"/>
      <c r="H64" t="s">
        <v>136</v>
      </c>
      <c r="J64" t="s">
        <v>136</v>
      </c>
      <c r="K64" t="s">
        <v>139</v>
      </c>
      <c r="L64" t="s">
        <v>142</v>
      </c>
    </row>
    <row r="65" spans="1:10" ht="15.75" hidden="1" customHeight="1" x14ac:dyDescent="0.2">
      <c r="A65"/>
      <c r="B65" t="s">
        <v>149</v>
      </c>
      <c r="C65" t="s">
        <v>642</v>
      </c>
      <c r="E65"/>
      <c r="F65"/>
      <c r="G65"/>
      <c r="H65"/>
      <c r="I65"/>
      <c r="J65"/>
    </row>
    <row r="66" spans="1:10" ht="15.75" hidden="1" customHeight="1" x14ac:dyDescent="0.2">
      <c r="A66"/>
      <c r="B66"/>
      <c r="C66" s="126" t="s">
        <v>643</v>
      </c>
      <c r="D66" t="s">
        <v>150</v>
      </c>
      <c r="E66"/>
      <c r="F66"/>
      <c r="G66"/>
      <c r="H66"/>
      <c r="I66"/>
      <c r="J66"/>
    </row>
    <row r="67" spans="1:10" ht="15.75" hidden="1" customHeight="1" x14ac:dyDescent="0.2">
      <c r="A67"/>
      <c r="B67"/>
      <c r="C67" s="126" t="s">
        <v>644</v>
      </c>
      <c r="D67" t="s">
        <v>134</v>
      </c>
      <c r="E67"/>
      <c r="F67"/>
      <c r="G67"/>
      <c r="H67"/>
      <c r="I67"/>
      <c r="J67"/>
    </row>
    <row r="68" spans="1:10" ht="15.75" hidden="1" customHeight="1" x14ac:dyDescent="0.2">
      <c r="A68"/>
      <c r="C68" s="126" t="s">
        <v>645</v>
      </c>
      <c r="D68"/>
      <c r="E68"/>
      <c r="F68"/>
      <c r="G68"/>
      <c r="H68"/>
      <c r="I68"/>
      <c r="J68"/>
    </row>
    <row r="69" spans="1:10" ht="15.75" hidden="1" customHeight="1" x14ac:dyDescent="0.2">
      <c r="A69"/>
      <c r="C69" t="s">
        <v>134</v>
      </c>
      <c r="D69"/>
      <c r="E69"/>
      <c r="F69"/>
      <c r="G69"/>
      <c r="H69"/>
      <c r="I69"/>
      <c r="J69"/>
    </row>
    <row r="70" spans="1:10" hidden="1" x14ac:dyDescent="0.2"/>
  </sheetData>
  <dataConsolidate link="1"/>
  <mergeCells count="52">
    <mergeCell ref="C16:D16"/>
    <mergeCell ref="C17:D17"/>
    <mergeCell ref="C18:D18"/>
    <mergeCell ref="C19:D19"/>
    <mergeCell ref="B1:P1"/>
    <mergeCell ref="B4:D4"/>
    <mergeCell ref="C15:D15"/>
    <mergeCell ref="C13:D13"/>
    <mergeCell ref="C14:D14"/>
    <mergeCell ref="I5:J5"/>
    <mergeCell ref="G5:H5"/>
    <mergeCell ref="G4:R4"/>
    <mergeCell ref="K5:L5"/>
    <mergeCell ref="Q5:R5"/>
    <mergeCell ref="D44:F44"/>
    <mergeCell ref="K44:L44"/>
    <mergeCell ref="M44:N44"/>
    <mergeCell ref="G44:H44"/>
    <mergeCell ref="I44:J44"/>
    <mergeCell ref="D43:F43"/>
    <mergeCell ref="G43:H43"/>
    <mergeCell ref="I43:J43"/>
    <mergeCell ref="K43:L43"/>
    <mergeCell ref="M43:N43"/>
    <mergeCell ref="D42:F42"/>
    <mergeCell ref="K41:L41"/>
    <mergeCell ref="K42:L42"/>
    <mergeCell ref="B21:C21"/>
    <mergeCell ref="C25:D25"/>
    <mergeCell ref="D40:F40"/>
    <mergeCell ref="D41:F41"/>
    <mergeCell ref="I41:J41"/>
    <mergeCell ref="G42:H42"/>
    <mergeCell ref="C23:D23"/>
    <mergeCell ref="C24:D24"/>
    <mergeCell ref="C22:D22"/>
    <mergeCell ref="G41:H41"/>
    <mergeCell ref="I42:J42"/>
    <mergeCell ref="O43:P43"/>
    <mergeCell ref="O44:P44"/>
    <mergeCell ref="M42:N42"/>
    <mergeCell ref="M41:N41"/>
    <mergeCell ref="M5:N5"/>
    <mergeCell ref="O5:P5"/>
    <mergeCell ref="O41:P41"/>
    <mergeCell ref="O42:P42"/>
    <mergeCell ref="Q41:R41"/>
    <mergeCell ref="Q42:R42"/>
    <mergeCell ref="Q43:R43"/>
    <mergeCell ref="Q44:R44"/>
    <mergeCell ref="V12:Z12"/>
    <mergeCell ref="T14:T18"/>
  </mergeCells>
  <dataValidations count="9">
    <dataValidation type="list" allowBlank="1" showInputMessage="1" showErrorMessage="1" sqref="C8" xr:uid="{DCC816FC-CBFA-4A13-8772-CFAA5CC9ADBC}">
      <formula1>$F$51:$F$53</formula1>
    </dataValidation>
    <dataValidation type="list" allowBlank="1" showInputMessage="1" showErrorMessage="1" sqref="C17" xr:uid="{4DE3C32E-E546-4008-94F9-3FEA5F25B7E0}">
      <formula1>$C$62:$C$64</formula1>
    </dataValidation>
    <dataValidation type="list" allowBlank="1" showInputMessage="1" showErrorMessage="1" sqref="C24" xr:uid="{7DDEE286-CFBC-406A-8037-6EB548F5D952}">
      <formula1>$C$65:$C$69</formula1>
    </dataValidation>
    <dataValidation type="list" allowBlank="1" showInputMessage="1" showErrorMessage="1" sqref="C9" xr:uid="{D4969EE3-88BE-4BB1-86E4-C965EFCE93F4}">
      <formula1>$C$55:$C$56</formula1>
    </dataValidation>
    <dataValidation type="list" allowBlank="1" showInputMessage="1" showErrorMessage="1" sqref="D21" xr:uid="{FFD67018-455C-4E2D-B60F-C952294DB4DE}">
      <formula1>$D$58:$D$59</formula1>
    </dataValidation>
    <dataValidation type="list" allowBlank="1" showInputMessage="1" showErrorMessage="1" sqref="C7" xr:uid="{49EB29A2-A7E2-4D34-BC57-1F4E666FE3F4}">
      <formula1>Harvesting_method</formula1>
    </dataValidation>
    <dataValidation type="list" allowBlank="1" showInputMessage="1" showErrorMessage="1" sqref="C11" xr:uid="{EB6947CF-84BD-4DA6-A6B5-4530B2642510}">
      <formula1>$G$50:$G$54</formula1>
    </dataValidation>
    <dataValidation type="list" allowBlank="1" showInputMessage="1" showErrorMessage="1" sqref="C14:D14 C16:D16" xr:uid="{4F2E663C-35AA-4C7A-932F-B318C3915B0A}">
      <formula1>INDIRECT(SUBSTITUTE(B14,"","_"))</formula1>
    </dataValidation>
    <dataValidation type="list" allowBlank="1" showInputMessage="1" showErrorMessage="1" sqref="C15:D15" xr:uid="{71E44B19-781D-4B42-8B8F-9164181E357E}">
      <formula1>$H$50:$H$51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0FE5F-1786-4A12-8C0C-2266B1A9F1B6}">
  <sheetPr>
    <tabColor rgb="FFFF0000"/>
  </sheetPr>
  <dimension ref="B1:W49"/>
  <sheetViews>
    <sheetView zoomScale="136" zoomScaleNormal="136" workbookViewId="0">
      <selection activeCell="G39" sqref="G39"/>
    </sheetView>
  </sheetViews>
  <sheetFormatPr baseColWidth="10" defaultColWidth="8.83203125" defaultRowHeight="15" x14ac:dyDescent="0.2"/>
  <cols>
    <col min="1" max="1" width="2.83203125" customWidth="1"/>
    <col min="4" max="4" width="18.5" bestFit="1" customWidth="1"/>
    <col min="5" max="5" width="29.6640625" customWidth="1"/>
    <col min="6" max="6" width="11.83203125" customWidth="1"/>
    <col min="7" max="7" width="12.33203125" customWidth="1"/>
    <col min="8" max="8" width="13.1640625" customWidth="1"/>
    <col min="9" max="9" width="6" customWidth="1"/>
    <col min="10" max="10" width="18.5" bestFit="1" customWidth="1"/>
    <col min="11" max="11" width="17.83203125" customWidth="1"/>
    <col min="12" max="12" width="14.83203125" customWidth="1"/>
    <col min="13" max="13" width="15.6640625" customWidth="1"/>
    <col min="14" max="14" width="7.5" customWidth="1"/>
    <col min="22" max="22" width="9.83203125" bestFit="1" customWidth="1"/>
    <col min="23" max="23" width="10.5" bestFit="1" customWidth="1"/>
    <col min="24" max="24" width="18.1640625" bestFit="1" customWidth="1"/>
    <col min="26" max="26" width="14.1640625" bestFit="1" customWidth="1"/>
  </cols>
  <sheetData>
    <row r="1" spans="2:17" ht="38" thickBot="1" x14ac:dyDescent="0.25">
      <c r="B1" s="776" t="s">
        <v>151</v>
      </c>
      <c r="C1" s="777"/>
      <c r="D1" s="777"/>
      <c r="E1" s="777"/>
      <c r="F1" s="777"/>
      <c r="G1" s="777"/>
      <c r="H1" s="777"/>
      <c r="I1" s="777"/>
      <c r="J1" s="777"/>
      <c r="K1" s="777"/>
      <c r="L1" s="777"/>
      <c r="M1" s="777"/>
      <c r="N1" s="777"/>
      <c r="O1" s="59" t="s">
        <v>152</v>
      </c>
      <c r="P1" s="27"/>
    </row>
    <row r="2" spans="2:17" x14ac:dyDescent="0.2"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2:17" ht="16" thickBot="1" x14ac:dyDescent="0.25"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2:17" ht="45.75" customHeight="1" thickBot="1" x14ac:dyDescent="0.25">
      <c r="B4" s="27"/>
      <c r="C4" s="27"/>
      <c r="D4" s="778" t="s">
        <v>153</v>
      </c>
      <c r="E4" s="779"/>
      <c r="F4" s="779"/>
      <c r="G4" s="779"/>
      <c r="H4" s="780"/>
      <c r="I4" s="27"/>
      <c r="J4" s="781" t="s">
        <v>154</v>
      </c>
      <c r="K4" s="782"/>
      <c r="L4" s="782"/>
      <c r="M4" s="783"/>
      <c r="N4" s="27"/>
      <c r="O4" s="27"/>
      <c r="P4" s="29"/>
    </row>
    <row r="5" spans="2:17" ht="30" customHeight="1" x14ac:dyDescent="0.2">
      <c r="B5" s="27"/>
      <c r="C5" s="27"/>
      <c r="D5" s="392"/>
      <c r="E5" s="393" t="s">
        <v>155</v>
      </c>
      <c r="F5" s="394" t="s">
        <v>156</v>
      </c>
      <c r="G5" s="395" t="s">
        <v>157</v>
      </c>
      <c r="H5" s="394" t="s">
        <v>158</v>
      </c>
      <c r="I5" s="27"/>
      <c r="J5" s="392"/>
      <c r="K5" s="393" t="s">
        <v>155</v>
      </c>
      <c r="L5" s="394" t="s">
        <v>156</v>
      </c>
      <c r="M5" s="395" t="s">
        <v>159</v>
      </c>
      <c r="N5" s="27"/>
      <c r="O5" s="27"/>
      <c r="P5" s="30"/>
      <c r="Q5" s="15"/>
    </row>
    <row r="6" spans="2:17" ht="30" customHeight="1" x14ac:dyDescent="0.2">
      <c r="B6" s="27"/>
      <c r="C6" s="27"/>
      <c r="D6" s="243" t="s">
        <v>143</v>
      </c>
      <c r="E6" s="289" t="str">
        <f>Input!C14</f>
        <v>Feller-buncher (rubber-tired)</v>
      </c>
      <c r="F6" s="588">
        <f>Felling!C8</f>
        <v>191.92452832022246</v>
      </c>
      <c r="G6" s="589">
        <f>Felling!C7</f>
        <v>6.3176222835520797</v>
      </c>
      <c r="H6" s="588">
        <f>Felling!C6</f>
        <v>14.986763224695421</v>
      </c>
      <c r="I6" s="27"/>
      <c r="J6" s="288" t="s">
        <v>114</v>
      </c>
      <c r="K6" s="289" t="str">
        <f>Input!C23</f>
        <v>Loader</v>
      </c>
      <c r="L6" s="588">
        <f>Loading!C15</f>
        <v>39.353803841064092</v>
      </c>
      <c r="M6" s="589">
        <f>Loading!C14</f>
        <v>6.3349203916470156</v>
      </c>
      <c r="N6" s="27"/>
      <c r="O6" s="27"/>
      <c r="P6" s="30"/>
      <c r="Q6" s="15"/>
    </row>
    <row r="7" spans="2:17" ht="30" customHeight="1" x14ac:dyDescent="0.2">
      <c r="B7" s="27"/>
      <c r="C7" s="27"/>
      <c r="D7" s="243" t="s">
        <v>144</v>
      </c>
      <c r="E7" s="289" t="str">
        <f>Input!C16</f>
        <v>Skidder (rubber-tired)</v>
      </c>
      <c r="F7" s="588">
        <f>Extraction!C8</f>
        <v>266.32858658375295</v>
      </c>
      <c r="G7" s="589">
        <f>Extraction!C7</f>
        <v>8.7667971784258949</v>
      </c>
      <c r="H7" s="588">
        <f>Extraction!C6</f>
        <v>20.796734539521278</v>
      </c>
      <c r="I7" s="27"/>
      <c r="J7" s="784" t="s">
        <v>160</v>
      </c>
      <c r="K7" s="786" t="str">
        <f>IF( OR(Input!C24 = "Grinder (Large)", Input!C24 = "Grinder (Small)"), "Grinder",  IF(Input!C24= "None", "None", "Chipper"))</f>
        <v>Grinder</v>
      </c>
      <c r="L7" s="788">
        <f>IF(K7="None","",'Chipping &amp; Grinding'!C7)</f>
        <v>66.228914210001662</v>
      </c>
      <c r="M7" s="788">
        <f>IF(K7="None","",'Chipping &amp; Grinding'!C6)</f>
        <v>10.661101550437467</v>
      </c>
      <c r="N7" s="27"/>
      <c r="O7" s="27"/>
      <c r="P7" s="30"/>
      <c r="Q7" s="15"/>
    </row>
    <row r="8" spans="2:17" ht="30" customHeight="1" x14ac:dyDescent="0.2">
      <c r="B8" s="27"/>
      <c r="C8" s="27"/>
      <c r="D8" s="243" t="s">
        <v>112</v>
      </c>
      <c r="E8" s="289" t="str">
        <f>Input!C17</f>
        <v>Pull-thru delimber</v>
      </c>
      <c r="F8" s="588">
        <f>Processing!D8</f>
        <v>166.05913829049453</v>
      </c>
      <c r="G8" s="589">
        <f>Processing!D7</f>
        <v>5.4662055008470976</v>
      </c>
      <c r="H8" s="588">
        <f>Processing!D6</f>
        <v>9.9766898661561232</v>
      </c>
      <c r="I8" s="27"/>
      <c r="J8" s="785"/>
      <c r="K8" s="787"/>
      <c r="L8" s="789"/>
      <c r="M8" s="789"/>
      <c r="N8" s="27"/>
      <c r="O8" s="27"/>
      <c r="P8" s="30"/>
      <c r="Q8" s="15"/>
    </row>
    <row r="9" spans="2:17" ht="30" customHeight="1" thickBot="1" x14ac:dyDescent="0.25">
      <c r="B9" s="27"/>
      <c r="C9" s="27"/>
      <c r="D9" s="244" t="s">
        <v>114</v>
      </c>
      <c r="E9" s="391" t="str">
        <f>Input!C18</f>
        <v>Loader</v>
      </c>
      <c r="F9" s="590">
        <f>Loading!C9</f>
        <v>73.654242321171253</v>
      </c>
      <c r="G9" s="591">
        <f>Loading!C8</f>
        <v>2.424493037127589</v>
      </c>
      <c r="H9" s="590">
        <f>Loading!C7</f>
        <v>5.7514206225897322</v>
      </c>
      <c r="I9" s="27"/>
      <c r="J9" s="400" t="s">
        <v>116</v>
      </c>
      <c r="K9" s="401" t="str">
        <f>Input!C25</f>
        <v>Chip van</v>
      </c>
      <c r="L9" s="593">
        <f>Transportation!H8</f>
        <v>131.81295017250451</v>
      </c>
      <c r="M9" s="593">
        <f>Transportation!H7</f>
        <v>21.218394778388276</v>
      </c>
      <c r="N9" s="27"/>
      <c r="O9" s="27"/>
      <c r="P9" s="30"/>
      <c r="Q9" s="15"/>
    </row>
    <row r="10" spans="2:17" ht="30" customHeight="1" thickBot="1" x14ac:dyDescent="0.25">
      <c r="B10" s="27"/>
      <c r="C10" s="27"/>
      <c r="D10" s="793" t="s">
        <v>161</v>
      </c>
      <c r="E10" s="794"/>
      <c r="F10" s="592">
        <f>SUM(F6:F9)</f>
        <v>697.96649551564121</v>
      </c>
      <c r="G10" s="592">
        <f>SUM(G6:G9)</f>
        <v>22.975117999952662</v>
      </c>
      <c r="H10" s="592">
        <f>SUM(H6:H9)</f>
        <v>51.511608252962553</v>
      </c>
      <c r="I10" s="27"/>
      <c r="J10" s="795" t="s">
        <v>162</v>
      </c>
      <c r="K10" s="796"/>
      <c r="L10" s="594">
        <f>SUM(L6:L9)</f>
        <v>237.39566822357028</v>
      </c>
      <c r="M10" s="595">
        <f>SUM(M6:M9)</f>
        <v>38.214416720472755</v>
      </c>
      <c r="N10" s="27"/>
      <c r="O10" s="27"/>
      <c r="P10" s="30"/>
      <c r="Q10" s="15"/>
    </row>
    <row r="11" spans="2:17" ht="30" customHeight="1" thickBot="1" x14ac:dyDescent="0.25">
      <c r="B11" s="27"/>
      <c r="C11" s="27"/>
      <c r="D11" s="285"/>
      <c r="E11" s="285"/>
      <c r="F11" s="285"/>
      <c r="G11" s="285"/>
      <c r="H11" s="285"/>
      <c r="I11" s="285"/>
      <c r="J11" s="285"/>
      <c r="K11" s="285"/>
      <c r="L11" s="285"/>
      <c r="M11" s="285"/>
      <c r="N11" s="27"/>
      <c r="O11" s="27"/>
      <c r="P11" s="30"/>
      <c r="Q11" s="15"/>
    </row>
    <row r="12" spans="2:17" ht="36.75" customHeight="1" thickBot="1" x14ac:dyDescent="0.25">
      <c r="B12" s="27"/>
      <c r="C12" s="27"/>
      <c r="D12" s="781" t="s">
        <v>163</v>
      </c>
      <c r="E12" s="782"/>
      <c r="F12" s="782"/>
      <c r="G12" s="783"/>
      <c r="H12" s="285"/>
      <c r="I12" s="285"/>
      <c r="J12" s="790" t="s">
        <v>801</v>
      </c>
      <c r="K12" s="791"/>
      <c r="L12" s="791"/>
      <c r="M12" s="792"/>
      <c r="N12" s="27"/>
      <c r="O12" s="27"/>
      <c r="P12" s="30"/>
      <c r="Q12" s="15"/>
    </row>
    <row r="13" spans="2:17" ht="34.5" customHeight="1" thickBot="1" x14ac:dyDescent="0.25">
      <c r="B13" s="27"/>
      <c r="C13" s="27"/>
      <c r="D13" s="404"/>
      <c r="E13" s="405" t="s">
        <v>155</v>
      </c>
      <c r="F13" s="394" t="s">
        <v>156</v>
      </c>
      <c r="G13" s="394" t="s">
        <v>157</v>
      </c>
      <c r="H13" s="27"/>
      <c r="I13" s="285"/>
      <c r="J13" s="797">
        <f>SUM(F10,L10,F14)</f>
        <v>2089.2066723380049</v>
      </c>
      <c r="K13" s="798"/>
      <c r="L13" s="799" t="s">
        <v>164</v>
      </c>
      <c r="M13" s="800"/>
      <c r="N13" s="27"/>
      <c r="O13" s="27"/>
      <c r="P13" s="30"/>
      <c r="Q13" s="15"/>
    </row>
    <row r="14" spans="2:17" ht="30" customHeight="1" thickBot="1" x14ac:dyDescent="0.25">
      <c r="B14" s="27"/>
      <c r="C14" s="27"/>
      <c r="D14" s="402" t="s">
        <v>116</v>
      </c>
      <c r="E14" s="403" t="str">
        <f>Input!C19</f>
        <v>Truck</v>
      </c>
      <c r="F14" s="587">
        <f>Transportation!C8</f>
        <v>1153.8445085987935</v>
      </c>
      <c r="G14" s="587">
        <f>Transportation!C7</f>
        <v>37.981355708299326</v>
      </c>
      <c r="H14" s="27"/>
      <c r="I14" s="285"/>
      <c r="J14" s="285"/>
      <c r="K14" s="285"/>
      <c r="L14" s="285"/>
      <c r="M14" s="285"/>
      <c r="N14" s="27"/>
      <c r="O14" s="27"/>
      <c r="P14" s="30"/>
      <c r="Q14" s="15"/>
    </row>
    <row r="15" spans="2:17" ht="17.25" customHeight="1" thickBot="1" x14ac:dyDescent="0.25">
      <c r="B15" s="27"/>
      <c r="C15" s="27"/>
      <c r="D15" s="27"/>
      <c r="E15" s="27"/>
      <c r="F15" s="27"/>
      <c r="G15" s="27"/>
      <c r="H15" s="27"/>
      <c r="I15" s="285"/>
      <c r="J15" s="285"/>
      <c r="K15" s="285"/>
      <c r="L15" s="285"/>
      <c r="M15" s="285"/>
      <c r="N15" s="27"/>
      <c r="O15" s="27"/>
      <c r="P15" s="30"/>
      <c r="Q15" s="15"/>
    </row>
    <row r="16" spans="2:17" ht="17.25" customHeight="1" x14ac:dyDescent="0.2">
      <c r="B16" s="27"/>
      <c r="C16" s="27"/>
      <c r="D16" s="767" t="s">
        <v>652</v>
      </c>
      <c r="E16" s="768"/>
      <c r="F16" s="768"/>
      <c r="G16" s="768"/>
      <c r="H16" s="768"/>
      <c r="I16" s="768"/>
      <c r="J16" s="768"/>
      <c r="K16" s="768"/>
      <c r="L16" s="768"/>
      <c r="M16" s="769"/>
      <c r="N16" s="285"/>
      <c r="O16" s="285"/>
      <c r="P16" s="30"/>
      <c r="Q16" s="15"/>
    </row>
    <row r="17" spans="2:17" ht="17.25" customHeight="1" x14ac:dyDescent="0.2">
      <c r="B17" s="27"/>
      <c r="C17" s="27"/>
      <c r="D17" s="770"/>
      <c r="E17" s="771"/>
      <c r="F17" s="771"/>
      <c r="G17" s="771"/>
      <c r="H17" s="771"/>
      <c r="I17" s="771"/>
      <c r="J17" s="771"/>
      <c r="K17" s="771"/>
      <c r="L17" s="771"/>
      <c r="M17" s="772"/>
      <c r="N17" s="285"/>
      <c r="O17" s="285"/>
      <c r="P17" s="30"/>
      <c r="Q17" s="15"/>
    </row>
    <row r="18" spans="2:17" ht="17.25" customHeight="1" x14ac:dyDescent="0.2">
      <c r="B18" s="27"/>
      <c r="C18" s="27"/>
      <c r="D18" s="770"/>
      <c r="E18" s="771"/>
      <c r="F18" s="771"/>
      <c r="G18" s="771"/>
      <c r="H18" s="771"/>
      <c r="I18" s="771"/>
      <c r="J18" s="771"/>
      <c r="K18" s="771"/>
      <c r="L18" s="771"/>
      <c r="M18" s="772"/>
      <c r="N18" s="285"/>
      <c r="O18" s="285"/>
      <c r="P18" s="30"/>
      <c r="Q18" s="15"/>
    </row>
    <row r="19" spans="2:17" ht="17.25" customHeight="1" x14ac:dyDescent="0.2">
      <c r="B19" s="27"/>
      <c r="C19" s="27"/>
      <c r="D19" s="770"/>
      <c r="E19" s="771"/>
      <c r="F19" s="771"/>
      <c r="G19" s="771"/>
      <c r="H19" s="771"/>
      <c r="I19" s="771"/>
      <c r="J19" s="771"/>
      <c r="K19" s="771"/>
      <c r="L19" s="771"/>
      <c r="M19" s="772"/>
      <c r="N19" s="285"/>
      <c r="O19" s="285"/>
      <c r="P19" s="30"/>
      <c r="Q19" s="15"/>
    </row>
    <row r="20" spans="2:17" ht="17.25" customHeight="1" x14ac:dyDescent="0.2">
      <c r="B20" s="27"/>
      <c r="C20" s="27"/>
      <c r="D20" s="770"/>
      <c r="E20" s="771"/>
      <c r="F20" s="771"/>
      <c r="G20" s="771"/>
      <c r="H20" s="771"/>
      <c r="I20" s="771"/>
      <c r="J20" s="771"/>
      <c r="K20" s="771"/>
      <c r="L20" s="771"/>
      <c r="M20" s="772"/>
      <c r="N20" s="285"/>
      <c r="O20" s="285"/>
      <c r="P20" s="28"/>
      <c r="Q20" s="15"/>
    </row>
    <row r="21" spans="2:17" ht="17.25" customHeight="1" x14ac:dyDescent="0.2">
      <c r="B21" s="27"/>
      <c r="C21" s="27"/>
      <c r="D21" s="770"/>
      <c r="E21" s="771"/>
      <c r="F21" s="771"/>
      <c r="G21" s="771"/>
      <c r="H21" s="771"/>
      <c r="I21" s="771"/>
      <c r="J21" s="771"/>
      <c r="K21" s="771"/>
      <c r="L21" s="771"/>
      <c r="M21" s="772"/>
      <c r="N21" s="285"/>
      <c r="O21" s="285"/>
      <c r="P21" s="27"/>
      <c r="Q21" s="15"/>
    </row>
    <row r="22" spans="2:17" ht="17.25" customHeight="1" x14ac:dyDescent="0.2">
      <c r="B22" s="27"/>
      <c r="C22" s="27"/>
      <c r="D22" s="770"/>
      <c r="E22" s="771"/>
      <c r="F22" s="771"/>
      <c r="G22" s="771"/>
      <c r="H22" s="771"/>
      <c r="I22" s="771"/>
      <c r="J22" s="771"/>
      <c r="K22" s="771"/>
      <c r="L22" s="771"/>
      <c r="M22" s="772"/>
      <c r="N22" s="285"/>
      <c r="O22" s="285"/>
      <c r="P22" s="27"/>
      <c r="Q22" s="15"/>
    </row>
    <row r="23" spans="2:17" ht="17.25" customHeight="1" x14ac:dyDescent="0.2">
      <c r="B23" s="27"/>
      <c r="C23" s="27"/>
      <c r="D23" s="770"/>
      <c r="E23" s="771"/>
      <c r="F23" s="771"/>
      <c r="G23" s="771"/>
      <c r="H23" s="771"/>
      <c r="I23" s="771"/>
      <c r="J23" s="771"/>
      <c r="K23" s="771"/>
      <c r="L23" s="771"/>
      <c r="M23" s="772"/>
      <c r="N23" s="285"/>
      <c r="O23" s="285"/>
      <c r="P23" s="27"/>
      <c r="Q23" s="15"/>
    </row>
    <row r="24" spans="2:17" x14ac:dyDescent="0.2">
      <c r="B24" s="27"/>
      <c r="C24" s="27"/>
      <c r="D24" s="770"/>
      <c r="E24" s="771"/>
      <c r="F24" s="771"/>
      <c r="G24" s="771"/>
      <c r="H24" s="771"/>
      <c r="I24" s="771"/>
      <c r="J24" s="771"/>
      <c r="K24" s="771"/>
      <c r="L24" s="771"/>
      <c r="M24" s="772"/>
      <c r="N24" s="27"/>
      <c r="O24" s="27"/>
      <c r="P24" s="27"/>
      <c r="Q24" s="15"/>
    </row>
    <row r="25" spans="2:17" x14ac:dyDescent="0.2">
      <c r="B25" s="27"/>
      <c r="C25" s="27"/>
      <c r="D25" s="770"/>
      <c r="E25" s="771"/>
      <c r="F25" s="771"/>
      <c r="G25" s="771"/>
      <c r="H25" s="771"/>
      <c r="I25" s="771"/>
      <c r="J25" s="771"/>
      <c r="K25" s="771"/>
      <c r="L25" s="771"/>
      <c r="M25" s="772"/>
      <c r="N25" s="27"/>
      <c r="O25" s="27"/>
      <c r="P25" s="27"/>
      <c r="Q25" s="15"/>
    </row>
    <row r="26" spans="2:17" x14ac:dyDescent="0.2">
      <c r="B26" s="27"/>
      <c r="C26" s="27"/>
      <c r="D26" s="770"/>
      <c r="E26" s="771"/>
      <c r="F26" s="771"/>
      <c r="G26" s="771"/>
      <c r="H26" s="771"/>
      <c r="I26" s="771"/>
      <c r="J26" s="771"/>
      <c r="K26" s="771"/>
      <c r="L26" s="771"/>
      <c r="M26" s="772"/>
      <c r="N26" s="27"/>
      <c r="O26" s="27"/>
      <c r="P26" s="27"/>
      <c r="Q26" s="15"/>
    </row>
    <row r="27" spans="2:17" ht="16" thickBot="1" x14ac:dyDescent="0.25">
      <c r="B27" s="27"/>
      <c r="C27" s="27"/>
      <c r="D27" s="773"/>
      <c r="E27" s="774"/>
      <c r="F27" s="774"/>
      <c r="G27" s="774"/>
      <c r="H27" s="774"/>
      <c r="I27" s="774"/>
      <c r="J27" s="774"/>
      <c r="K27" s="774"/>
      <c r="L27" s="774"/>
      <c r="M27" s="775"/>
      <c r="N27" s="27"/>
      <c r="O27" s="27"/>
      <c r="P27" s="27"/>
    </row>
    <row r="28" spans="2:17" x14ac:dyDescent="0.2"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</row>
    <row r="31" spans="2:17" x14ac:dyDescent="0.2">
      <c r="F31" s="125"/>
    </row>
    <row r="33" spans="4:23" x14ac:dyDescent="0.2">
      <c r="D33" s="216"/>
      <c r="E33" s="216"/>
      <c r="F33" s="216"/>
      <c r="G33" s="216"/>
      <c r="H33" s="216"/>
      <c r="I33" s="216"/>
      <c r="J33" s="216"/>
      <c r="K33" s="216"/>
      <c r="L33" s="216"/>
    </row>
    <row r="34" spans="4:23" x14ac:dyDescent="0.2">
      <c r="D34" s="216"/>
      <c r="E34" s="216"/>
      <c r="F34" s="216"/>
      <c r="G34" s="216"/>
      <c r="H34" s="216"/>
      <c r="I34" s="216"/>
      <c r="J34" s="216"/>
      <c r="K34" s="279"/>
      <c r="L34" s="216"/>
    </row>
    <row r="35" spans="4:23" x14ac:dyDescent="0.2">
      <c r="D35" s="216"/>
      <c r="E35" s="216"/>
      <c r="F35" s="216"/>
      <c r="G35" s="216"/>
      <c r="H35" s="216"/>
      <c r="I35" s="216"/>
      <c r="J35" s="216"/>
      <c r="K35" s="216"/>
      <c r="L35" s="216"/>
    </row>
    <row r="36" spans="4:23" x14ac:dyDescent="0.2">
      <c r="D36" s="216"/>
      <c r="E36" s="216"/>
      <c r="F36" s="216"/>
      <c r="G36" s="216"/>
      <c r="H36" s="216"/>
      <c r="I36" s="216"/>
      <c r="J36" s="216"/>
      <c r="K36" s="216"/>
      <c r="L36" s="216"/>
    </row>
    <row r="37" spans="4:23" x14ac:dyDescent="0.2">
      <c r="D37" s="216"/>
      <c r="E37" s="216"/>
      <c r="F37" s="216"/>
      <c r="G37" s="216"/>
      <c r="H37" s="216"/>
      <c r="I37" s="216"/>
      <c r="J37" s="216"/>
      <c r="K37" s="216"/>
      <c r="L37" s="216"/>
    </row>
    <row r="38" spans="4:23" x14ac:dyDescent="0.2">
      <c r="J38" s="216"/>
      <c r="K38" s="216"/>
      <c r="L38" s="216"/>
      <c r="Q38" s="216"/>
      <c r="R38" s="216"/>
      <c r="S38" s="216"/>
      <c r="T38" s="216"/>
      <c r="U38" s="216"/>
      <c r="V38" s="216"/>
      <c r="W38" s="216"/>
    </row>
    <row r="39" spans="4:23" x14ac:dyDescent="0.2">
      <c r="J39" s="217"/>
      <c r="K39" s="217"/>
      <c r="L39" s="217"/>
      <c r="M39" s="4"/>
      <c r="N39" s="4"/>
      <c r="Q39" s="216"/>
      <c r="R39" s="217"/>
      <c r="S39" s="217"/>
      <c r="T39" s="217"/>
      <c r="U39" s="217"/>
      <c r="V39" s="217"/>
      <c r="W39" s="217"/>
    </row>
    <row r="40" spans="4:23" x14ac:dyDescent="0.2">
      <c r="J40" s="218"/>
      <c r="K40" s="218"/>
      <c r="L40" s="218"/>
      <c r="M40" s="169"/>
      <c r="N40" s="169"/>
      <c r="Q40" s="216"/>
      <c r="R40" s="218"/>
      <c r="S40" s="218"/>
      <c r="T40" s="218"/>
      <c r="U40" s="218"/>
      <c r="V40" s="218"/>
      <c r="W40" s="218"/>
    </row>
    <row r="41" spans="4:23" x14ac:dyDescent="0.2">
      <c r="D41" s="216"/>
      <c r="E41" s="216"/>
      <c r="F41" s="216"/>
      <c r="G41" s="216"/>
      <c r="H41" s="216"/>
      <c r="I41" s="216"/>
      <c r="J41" s="216"/>
      <c r="K41" s="216"/>
      <c r="L41" s="216"/>
    </row>
    <row r="42" spans="4:23" x14ac:dyDescent="0.2">
      <c r="D42" s="216"/>
      <c r="E42" s="216"/>
      <c r="F42" s="216"/>
      <c r="G42" s="216"/>
      <c r="H42" s="216"/>
      <c r="I42" s="216"/>
      <c r="J42" s="216"/>
      <c r="K42" s="216"/>
      <c r="L42" s="216"/>
    </row>
    <row r="43" spans="4:23" x14ac:dyDescent="0.2">
      <c r="D43" s="216"/>
      <c r="E43" s="216"/>
      <c r="F43" s="216"/>
      <c r="G43" s="216"/>
      <c r="H43" s="216"/>
      <c r="I43" s="216"/>
      <c r="J43" s="216"/>
      <c r="K43" s="216"/>
      <c r="L43" s="216"/>
    </row>
    <row r="44" spans="4:23" x14ac:dyDescent="0.2">
      <c r="D44" s="216"/>
      <c r="E44" s="216"/>
      <c r="F44" s="216"/>
      <c r="G44" s="216"/>
      <c r="H44" s="216"/>
      <c r="I44" s="216"/>
      <c r="J44" s="216"/>
      <c r="K44" s="216"/>
      <c r="L44" s="216"/>
    </row>
    <row r="45" spans="4:23" x14ac:dyDescent="0.2">
      <c r="D45" s="216"/>
      <c r="E45" s="216"/>
      <c r="F45" s="216"/>
      <c r="G45" s="216"/>
      <c r="H45" s="216"/>
      <c r="I45" s="216"/>
      <c r="J45" s="216"/>
      <c r="K45" s="216"/>
      <c r="L45" s="216"/>
    </row>
    <row r="46" spans="4:23" x14ac:dyDescent="0.2">
      <c r="D46" s="216"/>
      <c r="E46" s="216"/>
      <c r="F46" s="216"/>
      <c r="G46" s="216"/>
      <c r="H46" s="216"/>
      <c r="I46" s="216"/>
      <c r="J46" s="216"/>
      <c r="K46" s="216"/>
      <c r="L46" s="216"/>
    </row>
    <row r="47" spans="4:23" x14ac:dyDescent="0.2">
      <c r="D47" s="216"/>
      <c r="E47" s="216"/>
      <c r="F47" s="216"/>
      <c r="G47" s="216"/>
      <c r="H47" s="216"/>
      <c r="I47" s="216"/>
      <c r="J47" s="216"/>
      <c r="K47" s="216"/>
      <c r="L47" s="216"/>
    </row>
    <row r="48" spans="4:23" x14ac:dyDescent="0.2">
      <c r="D48" s="216"/>
      <c r="E48" s="216"/>
      <c r="F48" s="216"/>
      <c r="G48" s="216"/>
      <c r="H48" s="216"/>
      <c r="I48" s="216"/>
      <c r="J48" s="216"/>
      <c r="K48" s="216"/>
      <c r="L48" s="216"/>
    </row>
    <row r="49" spans="4:12" x14ac:dyDescent="0.2">
      <c r="D49" s="216"/>
      <c r="E49" s="216"/>
      <c r="F49" s="216"/>
      <c r="G49" s="216"/>
      <c r="H49" s="216"/>
      <c r="I49" s="216"/>
      <c r="J49" s="216"/>
      <c r="K49" s="216"/>
      <c r="L49" s="216"/>
    </row>
  </sheetData>
  <mergeCells count="14">
    <mergeCell ref="D16:M27"/>
    <mergeCell ref="B1:N1"/>
    <mergeCell ref="D4:H4"/>
    <mergeCell ref="J4:M4"/>
    <mergeCell ref="J7:J8"/>
    <mergeCell ref="K7:K8"/>
    <mergeCell ref="L7:L8"/>
    <mergeCell ref="M7:M8"/>
    <mergeCell ref="D12:G12"/>
    <mergeCell ref="J12:M12"/>
    <mergeCell ref="D10:E10"/>
    <mergeCell ref="J10:K10"/>
    <mergeCell ref="J13:K13"/>
    <mergeCell ref="L13:M13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1F787-BCB6-4F3D-BD35-5B0C5A913E15}">
  <sheetPr>
    <tabColor rgb="FF0070C0"/>
  </sheetPr>
  <dimension ref="A1:AR61"/>
  <sheetViews>
    <sheetView topLeftCell="A9" zoomScaleNormal="100" workbookViewId="0">
      <selection activeCell="U14" sqref="U14:V14"/>
    </sheetView>
  </sheetViews>
  <sheetFormatPr baseColWidth="10" defaultColWidth="8.83203125" defaultRowHeight="15" x14ac:dyDescent="0.2"/>
  <cols>
    <col min="1" max="1" width="2.33203125" customWidth="1"/>
    <col min="5" max="5" width="17.83203125" customWidth="1"/>
    <col min="7" max="7" width="14.6640625" customWidth="1"/>
    <col min="8" max="8" width="13.83203125" bestFit="1" customWidth="1"/>
    <col min="9" max="9" width="12.83203125" bestFit="1" customWidth="1"/>
    <col min="10" max="10" width="13.83203125" bestFit="1" customWidth="1"/>
    <col min="11" max="11" width="15.6640625" bestFit="1" customWidth="1"/>
    <col min="12" max="12" width="18.5" customWidth="1"/>
    <col min="13" max="13" width="17.6640625" customWidth="1"/>
    <col min="14" max="14" width="18" customWidth="1"/>
    <col min="15" max="15" width="14.83203125" bestFit="1" customWidth="1"/>
    <col min="16" max="16" width="13.83203125" bestFit="1" customWidth="1"/>
    <col min="17" max="17" width="11.83203125" customWidth="1"/>
    <col min="18" max="18" width="13.83203125" bestFit="1" customWidth="1"/>
    <col min="19" max="19" width="13.33203125" customWidth="1"/>
    <col min="20" max="20" width="13.83203125" bestFit="1" customWidth="1"/>
    <col min="21" max="21" width="12.83203125" bestFit="1" customWidth="1"/>
    <col min="22" max="22" width="13.83203125" bestFit="1" customWidth="1"/>
    <col min="23" max="23" width="15.1640625" customWidth="1"/>
    <col min="24" max="24" width="17.33203125" bestFit="1" customWidth="1"/>
    <col min="25" max="25" width="13.1640625" customWidth="1"/>
    <col min="26" max="26" width="13.83203125" bestFit="1" customWidth="1"/>
    <col min="27" max="27" width="12.5" customWidth="1"/>
    <col min="28" max="28" width="13.83203125" bestFit="1" customWidth="1"/>
    <col min="29" max="29" width="13.1640625" customWidth="1"/>
    <col min="30" max="30" width="13.83203125" bestFit="1" customWidth="1"/>
    <col min="31" max="31" width="12.5" bestFit="1" customWidth="1"/>
    <col min="32" max="32" width="13.83203125" bestFit="1" customWidth="1"/>
    <col min="33" max="33" width="12.5" bestFit="1" customWidth="1"/>
    <col min="34" max="34" width="13.83203125" bestFit="1" customWidth="1"/>
    <col min="35" max="35" width="14.1640625" bestFit="1" customWidth="1"/>
    <col min="36" max="36" width="13.83203125" bestFit="1" customWidth="1"/>
    <col min="37" max="37" width="16" bestFit="1" customWidth="1"/>
    <col min="38" max="38" width="13.83203125" bestFit="1" customWidth="1"/>
    <col min="39" max="39" width="16" bestFit="1" customWidth="1"/>
    <col min="40" max="40" width="13.83203125" bestFit="1" customWidth="1"/>
  </cols>
  <sheetData>
    <row r="1" spans="1:42" ht="47" x14ac:dyDescent="0.2">
      <c r="A1" s="34"/>
      <c r="B1" s="34"/>
      <c r="C1" s="34"/>
      <c r="D1" s="34"/>
      <c r="E1" s="34"/>
      <c r="F1" s="34"/>
      <c r="G1" s="834" t="s">
        <v>165</v>
      </c>
      <c r="H1" s="834"/>
      <c r="I1" s="834"/>
      <c r="J1" s="834"/>
      <c r="K1" s="834"/>
      <c r="L1" s="834"/>
      <c r="M1" s="834"/>
      <c r="N1" s="834"/>
      <c r="O1" s="834"/>
      <c r="P1" s="834"/>
      <c r="Q1" s="834"/>
      <c r="R1" s="834"/>
      <c r="S1" s="834"/>
      <c r="T1" s="834"/>
      <c r="U1" s="834"/>
      <c r="V1" s="834"/>
      <c r="W1" s="834"/>
      <c r="X1" s="834"/>
      <c r="Y1" s="834"/>
      <c r="Z1" s="834"/>
      <c r="AA1" s="834"/>
      <c r="AB1" s="834"/>
      <c r="AC1" s="834"/>
      <c r="AD1" s="834"/>
      <c r="AE1" s="834"/>
      <c r="AF1" s="834"/>
      <c r="AG1" s="834"/>
      <c r="AH1" s="834"/>
      <c r="AI1" s="834"/>
      <c r="AJ1" s="834"/>
      <c r="AK1" s="834"/>
      <c r="AL1" s="834"/>
      <c r="AM1" s="834"/>
      <c r="AN1" s="834"/>
      <c r="AO1" s="34"/>
      <c r="AP1" s="34"/>
    </row>
    <row r="2" spans="1:42" ht="16" thickBot="1" x14ac:dyDescent="0.2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</row>
    <row r="3" spans="1:42" ht="20.25" customHeight="1" thickBot="1" x14ac:dyDescent="0.35">
      <c r="A3" s="34"/>
      <c r="B3" s="34"/>
      <c r="C3" s="34"/>
      <c r="D3" s="34"/>
      <c r="E3" s="34"/>
      <c r="F3" s="34"/>
      <c r="G3" s="801" t="s">
        <v>166</v>
      </c>
      <c r="H3" s="802"/>
      <c r="I3" s="802"/>
      <c r="J3" s="802"/>
      <c r="K3" s="803"/>
      <c r="L3" s="34"/>
      <c r="M3" s="870" t="s">
        <v>662</v>
      </c>
      <c r="N3" s="871"/>
      <c r="O3" s="871"/>
      <c r="P3" s="871"/>
      <c r="Q3" s="871"/>
      <c r="R3" s="871"/>
      <c r="S3" s="871"/>
      <c r="T3" s="871"/>
      <c r="U3" s="871"/>
      <c r="V3" s="872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</row>
    <row r="4" spans="1:42" ht="20.25" customHeight="1" x14ac:dyDescent="0.25">
      <c r="A4" s="34"/>
      <c r="B4" s="34"/>
      <c r="C4" s="34"/>
      <c r="D4" s="34"/>
      <c r="E4" s="34"/>
      <c r="F4" s="34"/>
      <c r="G4" s="838" t="s">
        <v>167</v>
      </c>
      <c r="H4" s="839"/>
      <c r="I4" s="840"/>
      <c r="J4" s="408">
        <v>10</v>
      </c>
      <c r="K4" s="596" t="s">
        <v>95</v>
      </c>
      <c r="L4" s="34"/>
      <c r="M4" s="873"/>
      <c r="N4" s="874"/>
      <c r="O4" s="874"/>
      <c r="P4" s="874"/>
      <c r="Q4" s="874"/>
      <c r="R4" s="874"/>
      <c r="S4" s="874"/>
      <c r="T4" s="874"/>
      <c r="U4" s="874"/>
      <c r="V4" s="875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</row>
    <row r="5" spans="1:42" ht="20.25" customHeight="1" x14ac:dyDescent="0.25">
      <c r="A5" s="34"/>
      <c r="B5" s="34"/>
      <c r="C5" s="34"/>
      <c r="D5" s="34"/>
      <c r="E5" s="34"/>
      <c r="F5" s="34"/>
      <c r="G5" s="804" t="s">
        <v>168</v>
      </c>
      <c r="H5" s="805"/>
      <c r="I5" s="806"/>
      <c r="J5" s="409">
        <v>50</v>
      </c>
      <c r="K5" s="597" t="s">
        <v>95</v>
      </c>
      <c r="L5" s="34"/>
      <c r="M5" s="873"/>
      <c r="N5" s="874"/>
      <c r="O5" s="874"/>
      <c r="P5" s="874"/>
      <c r="Q5" s="874"/>
      <c r="R5" s="874"/>
      <c r="S5" s="874"/>
      <c r="T5" s="874"/>
      <c r="U5" s="874"/>
      <c r="V5" s="875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</row>
    <row r="6" spans="1:42" ht="20.25" customHeight="1" x14ac:dyDescent="0.25">
      <c r="A6" s="34"/>
      <c r="B6" s="34"/>
      <c r="C6" s="34"/>
      <c r="D6" s="34"/>
      <c r="E6" s="34"/>
      <c r="F6" s="34"/>
      <c r="G6" s="804" t="s">
        <v>169</v>
      </c>
      <c r="H6" s="805"/>
      <c r="I6" s="806"/>
      <c r="J6" s="409">
        <v>5</v>
      </c>
      <c r="K6" s="597" t="s">
        <v>170</v>
      </c>
      <c r="L6" s="34"/>
      <c r="M6" s="873"/>
      <c r="N6" s="874"/>
      <c r="O6" s="874"/>
      <c r="P6" s="874"/>
      <c r="Q6" s="874"/>
      <c r="R6" s="874"/>
      <c r="S6" s="874"/>
      <c r="T6" s="874"/>
      <c r="U6" s="874"/>
      <c r="V6" s="875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</row>
    <row r="7" spans="1:42" ht="20.25" customHeight="1" x14ac:dyDescent="0.25">
      <c r="A7" s="34"/>
      <c r="B7" s="34"/>
      <c r="C7" s="34"/>
      <c r="D7" s="34"/>
      <c r="E7" s="34"/>
      <c r="F7" s="34"/>
      <c r="G7" s="804" t="s">
        <v>171</v>
      </c>
      <c r="H7" s="805"/>
      <c r="I7" s="806"/>
      <c r="J7" s="409">
        <v>27</v>
      </c>
      <c r="K7" s="597" t="s">
        <v>172</v>
      </c>
      <c r="L7" s="34"/>
      <c r="M7" s="873"/>
      <c r="N7" s="874"/>
      <c r="O7" s="874"/>
      <c r="P7" s="874"/>
      <c r="Q7" s="874"/>
      <c r="R7" s="874"/>
      <c r="S7" s="874"/>
      <c r="T7" s="874"/>
      <c r="U7" s="874"/>
      <c r="V7" s="875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</row>
    <row r="8" spans="1:42" ht="20.25" customHeight="1" thickBot="1" x14ac:dyDescent="0.3">
      <c r="A8" s="34"/>
      <c r="B8" s="34"/>
      <c r="C8" s="34"/>
      <c r="D8" s="34"/>
      <c r="E8" s="34"/>
      <c r="F8" s="34"/>
      <c r="G8" s="835" t="s">
        <v>173</v>
      </c>
      <c r="H8" s="836"/>
      <c r="I8" s="837"/>
      <c r="J8" s="410">
        <v>35</v>
      </c>
      <c r="K8" s="598" t="s">
        <v>95</v>
      </c>
      <c r="L8" s="34"/>
      <c r="M8" s="876"/>
      <c r="N8" s="877"/>
      <c r="O8" s="877"/>
      <c r="P8" s="877"/>
      <c r="Q8" s="877"/>
      <c r="R8" s="877"/>
      <c r="S8" s="877"/>
      <c r="T8" s="877"/>
      <c r="U8" s="877"/>
      <c r="V8" s="878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</row>
    <row r="9" spans="1:42" ht="16" thickBot="1" x14ac:dyDescent="0.25">
      <c r="A9" s="34"/>
      <c r="B9" s="34"/>
      <c r="C9" s="821"/>
      <c r="D9" s="821"/>
      <c r="E9" s="821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</row>
    <row r="10" spans="1:42" ht="38" thickBot="1" x14ac:dyDescent="0.25">
      <c r="A10" s="34"/>
      <c r="B10" s="34"/>
      <c r="C10" s="821"/>
      <c r="D10" s="821"/>
      <c r="E10" s="821"/>
      <c r="F10" s="34"/>
      <c r="G10" s="888" t="s">
        <v>174</v>
      </c>
      <c r="H10" s="889"/>
      <c r="I10" s="889"/>
      <c r="J10" s="889"/>
      <c r="K10" s="889"/>
      <c r="L10" s="889"/>
      <c r="M10" s="889"/>
      <c r="N10" s="889"/>
      <c r="O10" s="889"/>
      <c r="P10" s="889"/>
      <c r="Q10" s="889"/>
      <c r="R10" s="889"/>
      <c r="S10" s="889"/>
      <c r="T10" s="889"/>
      <c r="U10" s="889"/>
      <c r="V10" s="889"/>
      <c r="W10" s="889"/>
      <c r="X10" s="889"/>
      <c r="Y10" s="889"/>
      <c r="Z10" s="889"/>
      <c r="AA10" s="889"/>
      <c r="AB10" s="889"/>
      <c r="AC10" s="889"/>
      <c r="AD10" s="889"/>
      <c r="AE10" s="889"/>
      <c r="AF10" s="889"/>
      <c r="AG10" s="889"/>
      <c r="AH10" s="889"/>
      <c r="AI10" s="889"/>
      <c r="AJ10" s="889"/>
      <c r="AK10" s="889"/>
      <c r="AL10" s="889"/>
      <c r="AM10" s="889"/>
      <c r="AN10" s="890"/>
      <c r="AO10" s="34"/>
      <c r="AP10" s="34"/>
    </row>
    <row r="11" spans="1:42" ht="16" thickBot="1" x14ac:dyDescent="0.25">
      <c r="A11" s="34"/>
      <c r="B11" s="34"/>
      <c r="C11" s="213"/>
      <c r="D11" s="213"/>
      <c r="E11" s="213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</row>
    <row r="12" spans="1:42" ht="15.75" customHeight="1" x14ac:dyDescent="0.2">
      <c r="A12" s="34"/>
      <c r="B12" s="34"/>
      <c r="C12" s="213"/>
      <c r="D12" s="213"/>
      <c r="E12" s="213"/>
      <c r="F12" s="34"/>
      <c r="G12" s="841" t="s">
        <v>143</v>
      </c>
      <c r="H12" s="842"/>
      <c r="I12" s="842"/>
      <c r="J12" s="842"/>
      <c r="K12" s="842"/>
      <c r="L12" s="842"/>
      <c r="M12" s="842"/>
      <c r="N12" s="843"/>
      <c r="O12" s="847" t="s">
        <v>144</v>
      </c>
      <c r="P12" s="847"/>
      <c r="Q12" s="847"/>
      <c r="R12" s="847"/>
      <c r="S12" s="847"/>
      <c r="T12" s="847"/>
      <c r="U12" s="847"/>
      <c r="V12" s="847"/>
      <c r="W12" s="807" t="s">
        <v>112</v>
      </c>
      <c r="X12" s="808"/>
      <c r="Y12" s="808"/>
      <c r="Z12" s="809"/>
      <c r="AA12" s="856" t="s">
        <v>114</v>
      </c>
      <c r="AB12" s="857"/>
      <c r="AC12" s="860" t="s">
        <v>175</v>
      </c>
      <c r="AD12" s="860"/>
      <c r="AE12" s="860"/>
      <c r="AF12" s="860"/>
      <c r="AG12" s="860"/>
      <c r="AH12" s="860"/>
      <c r="AI12" s="860"/>
      <c r="AJ12" s="861"/>
      <c r="AK12" s="813" t="s">
        <v>116</v>
      </c>
      <c r="AL12" s="814"/>
      <c r="AM12" s="814"/>
      <c r="AN12" s="815"/>
      <c r="AO12" s="34"/>
      <c r="AP12" s="34"/>
    </row>
    <row r="13" spans="1:42" ht="16" thickBot="1" x14ac:dyDescent="0.25">
      <c r="A13" s="34"/>
      <c r="B13" s="34"/>
      <c r="C13" s="821"/>
      <c r="D13" s="821"/>
      <c r="E13" s="821"/>
      <c r="F13" s="34"/>
      <c r="G13" s="844"/>
      <c r="H13" s="845"/>
      <c r="I13" s="845"/>
      <c r="J13" s="845"/>
      <c r="K13" s="845"/>
      <c r="L13" s="845"/>
      <c r="M13" s="845"/>
      <c r="N13" s="846"/>
      <c r="O13" s="848"/>
      <c r="P13" s="848"/>
      <c r="Q13" s="848"/>
      <c r="R13" s="848"/>
      <c r="S13" s="848"/>
      <c r="T13" s="848"/>
      <c r="U13" s="848"/>
      <c r="V13" s="848"/>
      <c r="W13" s="810"/>
      <c r="X13" s="811"/>
      <c r="Y13" s="811"/>
      <c r="Z13" s="812"/>
      <c r="AA13" s="858"/>
      <c r="AB13" s="859"/>
      <c r="AC13" s="862"/>
      <c r="AD13" s="862"/>
      <c r="AE13" s="862"/>
      <c r="AF13" s="862"/>
      <c r="AG13" s="862"/>
      <c r="AH13" s="862"/>
      <c r="AI13" s="862"/>
      <c r="AJ13" s="863"/>
      <c r="AK13" s="816"/>
      <c r="AL13" s="817"/>
      <c r="AM13" s="817"/>
      <c r="AN13" s="818"/>
      <c r="AO13" s="34"/>
      <c r="AP13" s="34"/>
    </row>
    <row r="14" spans="1:42" ht="31.5" customHeight="1" x14ac:dyDescent="0.2">
      <c r="A14" s="34"/>
      <c r="B14" s="34"/>
      <c r="C14" s="821"/>
      <c r="D14" s="821"/>
      <c r="E14" s="821"/>
      <c r="F14" s="34"/>
      <c r="G14" s="886" t="s">
        <v>135</v>
      </c>
      <c r="H14" s="887"/>
      <c r="I14" s="891" t="s">
        <v>146</v>
      </c>
      <c r="J14" s="887"/>
      <c r="K14" s="891" t="s">
        <v>702</v>
      </c>
      <c r="L14" s="887"/>
      <c r="M14" s="891" t="s">
        <v>108</v>
      </c>
      <c r="N14" s="892"/>
      <c r="O14" s="893" t="s">
        <v>136</v>
      </c>
      <c r="P14" s="867"/>
      <c r="Q14" s="866" t="s">
        <v>111</v>
      </c>
      <c r="R14" s="867"/>
      <c r="S14" s="866" t="s">
        <v>653</v>
      </c>
      <c r="T14" s="867"/>
      <c r="U14" s="866" t="s">
        <v>147</v>
      </c>
      <c r="V14" s="868"/>
      <c r="W14" s="757" t="s">
        <v>177</v>
      </c>
      <c r="X14" s="826"/>
      <c r="Y14" s="827" t="s">
        <v>148</v>
      </c>
      <c r="Z14" s="758"/>
      <c r="AA14" s="864" t="s">
        <v>115</v>
      </c>
      <c r="AB14" s="865"/>
      <c r="AC14" s="823" t="s">
        <v>642</v>
      </c>
      <c r="AD14" s="824"/>
      <c r="AE14" s="825" t="s">
        <v>643</v>
      </c>
      <c r="AF14" s="824"/>
      <c r="AG14" s="825" t="s">
        <v>644</v>
      </c>
      <c r="AH14" s="824"/>
      <c r="AI14" s="825" t="s">
        <v>645</v>
      </c>
      <c r="AJ14" s="869"/>
      <c r="AK14" s="852" t="s">
        <v>654</v>
      </c>
      <c r="AL14" s="853"/>
      <c r="AM14" s="854" t="s">
        <v>655</v>
      </c>
      <c r="AN14" s="855"/>
      <c r="AO14" s="34"/>
      <c r="AP14" s="34"/>
    </row>
    <row r="15" spans="1:42" x14ac:dyDescent="0.2">
      <c r="A15" s="34"/>
      <c r="B15" s="34"/>
      <c r="C15" s="821"/>
      <c r="D15" s="821"/>
      <c r="E15" s="821"/>
      <c r="F15" s="34"/>
      <c r="G15" s="382" t="s">
        <v>178</v>
      </c>
      <c r="H15" s="380" t="s">
        <v>179</v>
      </c>
      <c r="I15" s="383" t="s">
        <v>178</v>
      </c>
      <c r="J15" s="380" t="s">
        <v>179</v>
      </c>
      <c r="K15" s="383" t="s">
        <v>178</v>
      </c>
      <c r="L15" s="380" t="s">
        <v>179</v>
      </c>
      <c r="M15" s="383" t="s">
        <v>178</v>
      </c>
      <c r="N15" s="381" t="s">
        <v>179</v>
      </c>
      <c r="O15" s="382" t="s">
        <v>178</v>
      </c>
      <c r="P15" s="380" t="s">
        <v>179</v>
      </c>
      <c r="Q15" s="383" t="s">
        <v>178</v>
      </c>
      <c r="R15" s="380" t="s">
        <v>179</v>
      </c>
      <c r="S15" s="383" t="s">
        <v>178</v>
      </c>
      <c r="T15" s="380" t="s">
        <v>179</v>
      </c>
      <c r="U15" s="383" t="s">
        <v>178</v>
      </c>
      <c r="V15" s="381" t="s">
        <v>179</v>
      </c>
      <c r="W15" s="382" t="s">
        <v>178</v>
      </c>
      <c r="X15" s="380" t="s">
        <v>179</v>
      </c>
      <c r="Y15" s="383" t="s">
        <v>178</v>
      </c>
      <c r="Z15" s="381" t="s">
        <v>179</v>
      </c>
      <c r="AA15" s="382" t="s">
        <v>178</v>
      </c>
      <c r="AB15" s="381" t="s">
        <v>179</v>
      </c>
      <c r="AC15" s="382" t="s">
        <v>178</v>
      </c>
      <c r="AD15" s="380" t="s">
        <v>179</v>
      </c>
      <c r="AE15" s="383" t="s">
        <v>178</v>
      </c>
      <c r="AF15" s="380" t="s">
        <v>179</v>
      </c>
      <c r="AG15" s="383" t="s">
        <v>178</v>
      </c>
      <c r="AH15" s="380" t="s">
        <v>179</v>
      </c>
      <c r="AI15" s="383" t="s">
        <v>178</v>
      </c>
      <c r="AJ15" s="381" t="s">
        <v>179</v>
      </c>
      <c r="AK15" s="382" t="s">
        <v>178</v>
      </c>
      <c r="AL15" s="380" t="s">
        <v>179</v>
      </c>
      <c r="AM15" s="383" t="s">
        <v>178</v>
      </c>
      <c r="AN15" s="381" t="s">
        <v>179</v>
      </c>
      <c r="AO15" s="34"/>
      <c r="AP15" s="34"/>
    </row>
    <row r="16" spans="1:42" ht="30" customHeight="1" thickBot="1" x14ac:dyDescent="0.25">
      <c r="A16" s="34"/>
      <c r="B16" s="34"/>
      <c r="C16" s="821"/>
      <c r="D16" s="821"/>
      <c r="E16" s="821"/>
      <c r="F16" s="34"/>
      <c r="G16" s="378">
        <f>H58</f>
        <v>69.597701477128325</v>
      </c>
      <c r="H16" s="379"/>
      <c r="I16" s="179">
        <f>J58</f>
        <v>256.3353017858451</v>
      </c>
      <c r="J16" s="379"/>
      <c r="K16" s="179">
        <f>L58</f>
        <v>202.54253709474983</v>
      </c>
      <c r="L16" s="379"/>
      <c r="M16" s="179">
        <f>N58</f>
        <v>183.40270936710419</v>
      </c>
      <c r="N16" s="198"/>
      <c r="O16" s="378">
        <f>P58</f>
        <v>358.63626050420163</v>
      </c>
      <c r="P16" s="379"/>
      <c r="Q16" s="179">
        <f>R58</f>
        <v>183.73441740642861</v>
      </c>
      <c r="R16" s="379"/>
      <c r="S16" s="179">
        <f>T58</f>
        <v>193.63441740642858</v>
      </c>
      <c r="T16" s="379"/>
      <c r="U16" s="179">
        <f>V58</f>
        <v>177.72163298588237</v>
      </c>
      <c r="V16" s="198"/>
      <c r="W16" s="378">
        <f>X58</f>
        <v>201.04944944927536</v>
      </c>
      <c r="X16" s="379"/>
      <c r="Y16" s="179">
        <f>Z58</f>
        <v>261.31031901449279</v>
      </c>
      <c r="Z16" s="198"/>
      <c r="AA16" s="378">
        <f>AB58</f>
        <v>196.94000513552243</v>
      </c>
      <c r="AB16" s="198"/>
      <c r="AC16" s="378">
        <f>AD58</f>
        <v>132.37847500000001</v>
      </c>
      <c r="AD16" s="379"/>
      <c r="AE16" s="179">
        <f>AF58</f>
        <v>232.364125</v>
      </c>
      <c r="AF16" s="379"/>
      <c r="AG16" s="179">
        <f>AH58</f>
        <v>179.474075</v>
      </c>
      <c r="AH16" s="379"/>
      <c r="AI16" s="179">
        <f>AJ58</f>
        <v>331.43232499999999</v>
      </c>
      <c r="AJ16" s="198"/>
      <c r="AK16" s="378">
        <f>AL58</f>
        <v>162.99012380952382</v>
      </c>
      <c r="AL16" s="379"/>
      <c r="AM16" s="179">
        <f>AN58</f>
        <v>154.10007380952379</v>
      </c>
      <c r="AN16" s="198"/>
      <c r="AO16" s="34"/>
      <c r="AP16" s="34"/>
    </row>
    <row r="17" spans="1:44" s="369" customFormat="1" ht="15.75" customHeight="1" thickBot="1" x14ac:dyDescent="0.25">
      <c r="A17" s="306"/>
      <c r="B17" s="306"/>
      <c r="C17" s="822"/>
      <c r="D17" s="822"/>
      <c r="E17" s="822"/>
      <c r="F17" s="306"/>
      <c r="G17" s="306"/>
      <c r="H17" s="305">
        <f>IF(H16="",G16,H16)</f>
        <v>69.597701477128325</v>
      </c>
      <c r="I17" s="306"/>
      <c r="J17" s="305">
        <f>IF(J16="",I16,J16)</f>
        <v>256.3353017858451</v>
      </c>
      <c r="K17" s="306"/>
      <c r="L17" s="305">
        <f>IF(L16="",K16,L16)</f>
        <v>202.54253709474983</v>
      </c>
      <c r="M17" s="306"/>
      <c r="N17" s="305">
        <f>IF(N16="",M16,N16)</f>
        <v>183.40270936710419</v>
      </c>
      <c r="O17" s="306"/>
      <c r="P17" s="305">
        <f>IF(P16="",O16,P16)</f>
        <v>358.63626050420163</v>
      </c>
      <c r="Q17" s="306"/>
      <c r="R17" s="305">
        <f>IF(R16="",Q16,R16)</f>
        <v>183.73441740642861</v>
      </c>
      <c r="S17" s="306"/>
      <c r="T17" s="305">
        <f>IF(T16="",S16,T16)</f>
        <v>193.63441740642858</v>
      </c>
      <c r="U17" s="306"/>
      <c r="V17" s="305">
        <f>IF(V16="",U16,V16)</f>
        <v>177.72163298588237</v>
      </c>
      <c r="W17" s="306"/>
      <c r="X17" s="305">
        <f>IF(X16="",W16,X16)</f>
        <v>201.04944944927536</v>
      </c>
      <c r="Y17" s="306"/>
      <c r="Z17" s="305">
        <f>IF(Z16="",Y16,Z16)</f>
        <v>261.31031901449279</v>
      </c>
      <c r="AA17" s="306"/>
      <c r="AB17" s="305">
        <f>IF(AB16="",AA16,AB16)</f>
        <v>196.94000513552243</v>
      </c>
      <c r="AC17" s="306"/>
      <c r="AD17" s="305">
        <f>IF(AD16="",AC16,AD16)</f>
        <v>132.37847500000001</v>
      </c>
      <c r="AE17" s="306"/>
      <c r="AF17" s="305">
        <f>IF(AF16="",AE16,AF16)</f>
        <v>232.364125</v>
      </c>
      <c r="AG17" s="306"/>
      <c r="AH17" s="305">
        <f>IF(AH16="",AG16,AH16)</f>
        <v>179.474075</v>
      </c>
      <c r="AI17" s="306"/>
      <c r="AJ17" s="305">
        <f>IF(AJ16="",AI16,AJ16)</f>
        <v>331.43232499999999</v>
      </c>
      <c r="AK17" s="306"/>
      <c r="AL17" s="305">
        <f>IF(AL16="",AK16,AL16)</f>
        <v>162.99012380952382</v>
      </c>
      <c r="AM17" s="306"/>
      <c r="AN17" s="305">
        <f>IF(AN16="",AM16,AN16)</f>
        <v>154.10007380952379</v>
      </c>
      <c r="AO17" s="306"/>
      <c r="AP17" s="306"/>
    </row>
    <row r="18" spans="1:44" ht="15" customHeight="1" x14ac:dyDescent="0.2">
      <c r="A18" s="34"/>
      <c r="B18" s="34"/>
      <c r="C18" s="213"/>
      <c r="D18" s="213"/>
      <c r="E18" s="213"/>
      <c r="F18" s="34"/>
      <c r="G18" s="879" t="s">
        <v>180</v>
      </c>
      <c r="H18" s="880"/>
      <c r="I18" s="880"/>
      <c r="J18" s="880"/>
      <c r="K18" s="880"/>
      <c r="L18" s="880"/>
      <c r="M18" s="880"/>
      <c r="N18" s="880"/>
      <c r="O18" s="880"/>
      <c r="P18" s="880"/>
      <c r="Q18" s="880"/>
      <c r="R18" s="880"/>
      <c r="S18" s="880"/>
      <c r="T18" s="880"/>
      <c r="U18" s="880"/>
      <c r="V18" s="880"/>
      <c r="W18" s="880"/>
      <c r="X18" s="880"/>
      <c r="Y18" s="880"/>
      <c r="Z18" s="880"/>
      <c r="AA18" s="880"/>
      <c r="AB18" s="880"/>
      <c r="AC18" s="880"/>
      <c r="AD18" s="880"/>
      <c r="AE18" s="880"/>
      <c r="AF18" s="880"/>
      <c r="AG18" s="880"/>
      <c r="AH18" s="880"/>
      <c r="AI18" s="880"/>
      <c r="AJ18" s="880"/>
      <c r="AK18" s="880"/>
      <c r="AL18" s="880"/>
      <c r="AM18" s="880"/>
      <c r="AN18" s="881"/>
      <c r="AO18" s="34"/>
      <c r="AP18" s="34"/>
    </row>
    <row r="19" spans="1:44" ht="15.75" customHeight="1" thickBot="1" x14ac:dyDescent="0.25">
      <c r="A19" s="34"/>
      <c r="B19" s="34"/>
      <c r="C19" s="213"/>
      <c r="D19" s="213"/>
      <c r="E19" s="213"/>
      <c r="F19" s="34"/>
      <c r="G19" s="882"/>
      <c r="H19" s="883"/>
      <c r="I19" s="883"/>
      <c r="J19" s="883"/>
      <c r="K19" s="883"/>
      <c r="L19" s="883"/>
      <c r="M19" s="883"/>
      <c r="N19" s="883"/>
      <c r="O19" s="883"/>
      <c r="P19" s="883"/>
      <c r="Q19" s="883"/>
      <c r="R19" s="883"/>
      <c r="S19" s="883"/>
      <c r="T19" s="883"/>
      <c r="U19" s="883"/>
      <c r="V19" s="883"/>
      <c r="W19" s="883"/>
      <c r="X19" s="883"/>
      <c r="Y19" s="883"/>
      <c r="Z19" s="883"/>
      <c r="AA19" s="883"/>
      <c r="AB19" s="883"/>
      <c r="AC19" s="883"/>
      <c r="AD19" s="883"/>
      <c r="AE19" s="883"/>
      <c r="AF19" s="883"/>
      <c r="AG19" s="883"/>
      <c r="AH19" s="883"/>
      <c r="AI19" s="883"/>
      <c r="AJ19" s="883"/>
      <c r="AK19" s="883"/>
      <c r="AL19" s="883"/>
      <c r="AM19" s="883"/>
      <c r="AN19" s="884"/>
      <c r="AO19" s="34"/>
      <c r="AP19" s="34"/>
    </row>
    <row r="20" spans="1:44" ht="16" thickBot="1" x14ac:dyDescent="0.25">
      <c r="A20" s="34"/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</row>
    <row r="21" spans="1:44" ht="15" customHeight="1" x14ac:dyDescent="0.2">
      <c r="A21" s="34"/>
      <c r="B21" s="34"/>
      <c r="C21" s="34"/>
      <c r="D21" s="34"/>
      <c r="E21" s="34"/>
      <c r="F21" s="34"/>
      <c r="G21" s="841" t="s">
        <v>143</v>
      </c>
      <c r="H21" s="842"/>
      <c r="I21" s="842"/>
      <c r="J21" s="842"/>
      <c r="K21" s="842"/>
      <c r="L21" s="842"/>
      <c r="M21" s="842"/>
      <c r="N21" s="843"/>
      <c r="O21" s="847" t="s">
        <v>144</v>
      </c>
      <c r="P21" s="847"/>
      <c r="Q21" s="847"/>
      <c r="R21" s="847"/>
      <c r="S21" s="847"/>
      <c r="T21" s="847"/>
      <c r="U21" s="847"/>
      <c r="V21" s="847"/>
      <c r="W21" s="807" t="s">
        <v>112</v>
      </c>
      <c r="X21" s="808"/>
      <c r="Y21" s="808"/>
      <c r="Z21" s="809"/>
      <c r="AA21" s="856" t="s">
        <v>114</v>
      </c>
      <c r="AB21" s="857"/>
      <c r="AC21" s="860" t="s">
        <v>175</v>
      </c>
      <c r="AD21" s="860"/>
      <c r="AE21" s="860"/>
      <c r="AF21" s="860"/>
      <c r="AG21" s="860"/>
      <c r="AH21" s="860"/>
      <c r="AI21" s="860"/>
      <c r="AJ21" s="861"/>
      <c r="AK21" s="813" t="s">
        <v>116</v>
      </c>
      <c r="AL21" s="814"/>
      <c r="AM21" s="814"/>
      <c r="AN21" s="815"/>
      <c r="AO21" s="34"/>
      <c r="AP21" s="34"/>
    </row>
    <row r="22" spans="1:44" ht="16" thickBot="1" x14ac:dyDescent="0.25">
      <c r="A22" s="34"/>
      <c r="B22" s="34"/>
      <c r="C22" s="34"/>
      <c r="D22" s="34"/>
      <c r="E22" s="34"/>
      <c r="F22" s="34"/>
      <c r="G22" s="844"/>
      <c r="H22" s="845"/>
      <c r="I22" s="845"/>
      <c r="J22" s="845"/>
      <c r="K22" s="845"/>
      <c r="L22" s="845"/>
      <c r="M22" s="845"/>
      <c r="N22" s="846"/>
      <c r="O22" s="848"/>
      <c r="P22" s="848"/>
      <c r="Q22" s="848"/>
      <c r="R22" s="848"/>
      <c r="S22" s="848"/>
      <c r="T22" s="848"/>
      <c r="U22" s="848"/>
      <c r="V22" s="848"/>
      <c r="W22" s="810"/>
      <c r="X22" s="811"/>
      <c r="Y22" s="811"/>
      <c r="Z22" s="812"/>
      <c r="AA22" s="858"/>
      <c r="AB22" s="859"/>
      <c r="AC22" s="862"/>
      <c r="AD22" s="862"/>
      <c r="AE22" s="862"/>
      <c r="AF22" s="862"/>
      <c r="AG22" s="862"/>
      <c r="AH22" s="862"/>
      <c r="AI22" s="862"/>
      <c r="AJ22" s="863"/>
      <c r="AK22" s="816"/>
      <c r="AL22" s="817"/>
      <c r="AM22" s="817"/>
      <c r="AN22" s="818"/>
      <c r="AO22" s="34"/>
      <c r="AP22" s="34"/>
    </row>
    <row r="23" spans="1:44" ht="30" customHeight="1" x14ac:dyDescent="0.2">
      <c r="A23" s="34"/>
      <c r="B23" s="41"/>
      <c r="C23" s="36"/>
      <c r="D23" s="36"/>
      <c r="E23" s="36"/>
      <c r="F23" s="37"/>
      <c r="G23" s="849" t="s">
        <v>135</v>
      </c>
      <c r="H23" s="850"/>
      <c r="I23" s="851" t="s">
        <v>146</v>
      </c>
      <c r="J23" s="850"/>
      <c r="K23" s="851" t="s">
        <v>702</v>
      </c>
      <c r="L23" s="850"/>
      <c r="M23" s="851" t="s">
        <v>108</v>
      </c>
      <c r="N23" s="885"/>
      <c r="O23" s="849" t="s">
        <v>136</v>
      </c>
      <c r="P23" s="850"/>
      <c r="Q23" s="851" t="s">
        <v>111</v>
      </c>
      <c r="R23" s="850"/>
      <c r="S23" s="851" t="s">
        <v>653</v>
      </c>
      <c r="T23" s="850"/>
      <c r="U23" s="851" t="s">
        <v>147</v>
      </c>
      <c r="V23" s="885"/>
      <c r="W23" s="849" t="s">
        <v>177</v>
      </c>
      <c r="X23" s="850"/>
      <c r="Y23" s="851" t="s">
        <v>148</v>
      </c>
      <c r="Z23" s="885"/>
      <c r="AA23" s="849" t="s">
        <v>115</v>
      </c>
      <c r="AB23" s="885"/>
      <c r="AC23" s="849" t="s">
        <v>642</v>
      </c>
      <c r="AD23" s="850"/>
      <c r="AE23" s="851" t="s">
        <v>643</v>
      </c>
      <c r="AF23" s="850"/>
      <c r="AG23" s="851" t="s">
        <v>644</v>
      </c>
      <c r="AH23" s="850"/>
      <c r="AI23" s="851" t="s">
        <v>645</v>
      </c>
      <c r="AJ23" s="885"/>
      <c r="AK23" s="849" t="s">
        <v>654</v>
      </c>
      <c r="AL23" s="850"/>
      <c r="AM23" s="851" t="s">
        <v>655</v>
      </c>
      <c r="AN23" s="885"/>
      <c r="AO23" s="34"/>
      <c r="AP23" s="34"/>
    </row>
    <row r="24" spans="1:44" x14ac:dyDescent="0.2">
      <c r="A24" s="34"/>
      <c r="B24" s="11" t="s">
        <v>181</v>
      </c>
      <c r="C24" s="819" t="s">
        <v>182</v>
      </c>
      <c r="D24" s="819"/>
      <c r="E24" s="819"/>
      <c r="F24" s="820"/>
      <c r="G24" s="349">
        <v>1200</v>
      </c>
      <c r="H24" s="102"/>
      <c r="I24" s="109">
        <v>750000</v>
      </c>
      <c r="J24" s="102"/>
      <c r="K24" s="109">
        <v>450000</v>
      </c>
      <c r="L24" s="102"/>
      <c r="M24" s="109">
        <v>360000</v>
      </c>
      <c r="N24" s="191"/>
      <c r="O24" s="108">
        <v>600000</v>
      </c>
      <c r="P24" s="102"/>
      <c r="Q24" s="109">
        <v>360000</v>
      </c>
      <c r="R24" s="102"/>
      <c r="S24" s="109">
        <v>405000</v>
      </c>
      <c r="T24" s="102"/>
      <c r="U24" s="109">
        <v>550000</v>
      </c>
      <c r="V24" s="191"/>
      <c r="W24" s="349">
        <v>430000</v>
      </c>
      <c r="X24" s="102"/>
      <c r="Y24" s="109">
        <v>700000</v>
      </c>
      <c r="Z24" s="191"/>
      <c r="AA24" s="349">
        <v>450000</v>
      </c>
      <c r="AB24" s="12"/>
      <c r="AC24" s="108">
        <v>350000</v>
      </c>
      <c r="AE24" s="109">
        <v>650000</v>
      </c>
      <c r="AG24" s="109">
        <v>400000</v>
      </c>
      <c r="AH24" s="2"/>
      <c r="AI24" s="108">
        <v>700000</v>
      </c>
      <c r="AK24" s="349">
        <v>150000</v>
      </c>
      <c r="AM24" s="109">
        <v>150000</v>
      </c>
      <c r="AN24" s="12"/>
      <c r="AO24" s="819" t="s">
        <v>182</v>
      </c>
      <c r="AP24" s="819"/>
      <c r="AQ24" s="819"/>
      <c r="AR24" s="820"/>
    </row>
    <row r="25" spans="1:44" x14ac:dyDescent="0.2">
      <c r="A25" s="34"/>
      <c r="B25" s="11" t="s">
        <v>183</v>
      </c>
      <c r="C25" s="819" t="s">
        <v>184</v>
      </c>
      <c r="D25" s="819"/>
      <c r="E25" s="819"/>
      <c r="F25" s="820"/>
      <c r="G25" s="11">
        <f>G24*H25</f>
        <v>0</v>
      </c>
      <c r="H25" s="3">
        <v>0</v>
      </c>
      <c r="I25" s="110">
        <f>I24*J25</f>
        <v>225000</v>
      </c>
      <c r="J25" s="3">
        <v>0.3</v>
      </c>
      <c r="K25" s="367">
        <f>K24*L25</f>
        <v>90900</v>
      </c>
      <c r="L25" s="3">
        <v>0.20200000000000001</v>
      </c>
      <c r="M25" s="110">
        <f>M24*N25</f>
        <v>72720</v>
      </c>
      <c r="N25" s="350">
        <v>0.20200000000000001</v>
      </c>
      <c r="O25">
        <f>O24*P25</f>
        <v>120000</v>
      </c>
      <c r="P25" s="3">
        <v>0.2</v>
      </c>
      <c r="Q25" s="110">
        <f>Q24*R25</f>
        <v>72000</v>
      </c>
      <c r="R25" s="3">
        <v>0.2</v>
      </c>
      <c r="S25" s="110">
        <f>S24*T25</f>
        <v>81000</v>
      </c>
      <c r="T25" s="3">
        <v>0.2</v>
      </c>
      <c r="U25" s="110">
        <f>U24*V25</f>
        <v>192500</v>
      </c>
      <c r="V25" s="350">
        <v>0.35</v>
      </c>
      <c r="W25" s="11">
        <f>W24*X25</f>
        <v>86000</v>
      </c>
      <c r="X25" s="38">
        <v>0.2</v>
      </c>
      <c r="Y25" s="110">
        <f>Y24*Z25</f>
        <v>140000</v>
      </c>
      <c r="Z25" s="358">
        <v>0.2</v>
      </c>
      <c r="AA25" s="11">
        <f>AA24*AB25</f>
        <v>90000</v>
      </c>
      <c r="AB25" s="350">
        <v>0.2</v>
      </c>
      <c r="AC25">
        <f>AC24*AD25</f>
        <v>70000</v>
      </c>
      <c r="AD25" s="3">
        <v>0.2</v>
      </c>
      <c r="AE25" s="110">
        <f>AE24*AF25</f>
        <v>130000</v>
      </c>
      <c r="AF25" s="3">
        <v>0.2</v>
      </c>
      <c r="AG25" s="110">
        <f>AG24*AH25</f>
        <v>80000</v>
      </c>
      <c r="AH25" s="364">
        <v>0.2</v>
      </c>
      <c r="AI25">
        <f>AI24*AJ25</f>
        <v>140000</v>
      </c>
      <c r="AJ25" s="3">
        <v>0.2</v>
      </c>
      <c r="AK25" s="11">
        <f>AK24*AL25</f>
        <v>30000</v>
      </c>
      <c r="AL25" s="3">
        <v>0.2</v>
      </c>
      <c r="AM25" s="110">
        <f>AM24*AN25</f>
        <v>30000</v>
      </c>
      <c r="AN25" s="350">
        <v>0.2</v>
      </c>
      <c r="AO25" s="819" t="s">
        <v>184</v>
      </c>
      <c r="AP25" s="819"/>
      <c r="AQ25" s="819"/>
      <c r="AR25" s="820"/>
    </row>
    <row r="26" spans="1:44" x14ac:dyDescent="0.2">
      <c r="A26" s="34"/>
      <c r="B26" s="11" t="s">
        <v>185</v>
      </c>
      <c r="C26" s="819" t="s">
        <v>186</v>
      </c>
      <c r="D26" s="819"/>
      <c r="E26" s="819"/>
      <c r="F26" s="820"/>
      <c r="G26" s="351">
        <v>3</v>
      </c>
      <c r="I26" s="111">
        <v>5</v>
      </c>
      <c r="K26" s="111">
        <v>5.3</v>
      </c>
      <c r="M26" s="111">
        <v>5.3</v>
      </c>
      <c r="N26" s="12"/>
      <c r="O26" s="10">
        <v>7</v>
      </c>
      <c r="Q26" s="111">
        <v>5</v>
      </c>
      <c r="S26" s="111">
        <v>5</v>
      </c>
      <c r="U26" s="111">
        <v>5</v>
      </c>
      <c r="V26" s="12"/>
      <c r="W26" s="351">
        <v>5</v>
      </c>
      <c r="Y26" s="111">
        <v>5</v>
      </c>
      <c r="Z26" s="12"/>
      <c r="AA26" s="351">
        <v>5</v>
      </c>
      <c r="AB26" s="12"/>
      <c r="AC26" s="10">
        <v>5</v>
      </c>
      <c r="AE26" s="111">
        <v>5</v>
      </c>
      <c r="AG26" s="111">
        <v>5</v>
      </c>
      <c r="AH26" s="2"/>
      <c r="AI26" s="10">
        <v>5</v>
      </c>
      <c r="AK26" s="351">
        <v>7</v>
      </c>
      <c r="AM26" s="111">
        <v>7</v>
      </c>
      <c r="AN26" s="12"/>
      <c r="AO26" s="819" t="s">
        <v>186</v>
      </c>
      <c r="AP26" s="819"/>
      <c r="AQ26" s="819"/>
      <c r="AR26" s="820"/>
    </row>
    <row r="27" spans="1:44" x14ac:dyDescent="0.2">
      <c r="A27" s="34"/>
      <c r="B27" s="11" t="s">
        <v>187</v>
      </c>
      <c r="C27" s="819" t="s">
        <v>835</v>
      </c>
      <c r="D27" s="819"/>
      <c r="E27" s="819"/>
      <c r="F27" s="820"/>
      <c r="G27" s="351">
        <v>2000</v>
      </c>
      <c r="I27" s="111">
        <v>2000</v>
      </c>
      <c r="K27" s="111">
        <v>2000</v>
      </c>
      <c r="M27" s="111">
        <v>2000</v>
      </c>
      <c r="N27" s="12"/>
      <c r="O27" s="10">
        <v>2000</v>
      </c>
      <c r="Q27" s="111">
        <v>2000</v>
      </c>
      <c r="S27" s="111">
        <v>2000</v>
      </c>
      <c r="U27" s="111">
        <v>2000</v>
      </c>
      <c r="V27" s="12"/>
      <c r="W27" s="351">
        <v>2000</v>
      </c>
      <c r="Y27" s="111">
        <v>2000</v>
      </c>
      <c r="Z27" s="12"/>
      <c r="AA27" s="351">
        <v>2000</v>
      </c>
      <c r="AB27" s="12"/>
      <c r="AC27" s="351">
        <v>2500</v>
      </c>
      <c r="AE27" s="351">
        <v>2500</v>
      </c>
      <c r="AG27" s="351">
        <v>2500</v>
      </c>
      <c r="AH27" s="2"/>
      <c r="AI27" s="351">
        <v>2500</v>
      </c>
      <c r="AK27" s="351">
        <v>2500</v>
      </c>
      <c r="AM27" s="111">
        <v>2500</v>
      </c>
      <c r="AN27" s="12"/>
      <c r="AO27" s="819" t="s">
        <v>188</v>
      </c>
      <c r="AP27" s="819"/>
      <c r="AQ27" s="819"/>
      <c r="AR27" s="820"/>
    </row>
    <row r="28" spans="1:44" x14ac:dyDescent="0.2">
      <c r="A28" s="34"/>
      <c r="B28" s="11" t="s">
        <v>189</v>
      </c>
      <c r="C28" s="819" t="s">
        <v>190</v>
      </c>
      <c r="D28" s="819"/>
      <c r="E28" s="819"/>
      <c r="F28" s="820"/>
      <c r="G28" s="352">
        <v>0.78700000000000003</v>
      </c>
      <c r="I28" s="112">
        <v>0.71</v>
      </c>
      <c r="K28" s="112">
        <v>0.69</v>
      </c>
      <c r="M28" s="112">
        <v>0.69</v>
      </c>
      <c r="N28" s="12"/>
      <c r="O28" s="38">
        <v>0.68</v>
      </c>
      <c r="Q28" s="112">
        <v>0.7</v>
      </c>
      <c r="S28" s="112">
        <v>0.7</v>
      </c>
      <c r="U28" s="112">
        <v>0.85</v>
      </c>
      <c r="V28" s="12"/>
      <c r="W28" s="352">
        <v>0.69</v>
      </c>
      <c r="Y28" s="112">
        <v>0.69</v>
      </c>
      <c r="Z28" s="12"/>
      <c r="AA28" s="352">
        <v>0.67</v>
      </c>
      <c r="AB28" s="12"/>
      <c r="AC28" s="38">
        <v>0.7</v>
      </c>
      <c r="AE28" s="112">
        <v>0.7</v>
      </c>
      <c r="AG28" s="112">
        <v>0.7</v>
      </c>
      <c r="AH28" s="2"/>
      <c r="AI28" s="38">
        <v>0.7</v>
      </c>
      <c r="AK28" s="352">
        <v>0.9</v>
      </c>
      <c r="AM28" s="112">
        <v>0.9</v>
      </c>
      <c r="AN28" s="12"/>
      <c r="AO28" s="819" t="s">
        <v>190</v>
      </c>
      <c r="AP28" s="819"/>
      <c r="AQ28" s="819"/>
      <c r="AR28" s="820"/>
    </row>
    <row r="29" spans="1:44" x14ac:dyDescent="0.2">
      <c r="A29" s="34"/>
      <c r="B29" s="11" t="s">
        <v>191</v>
      </c>
      <c r="C29" s="819" t="s">
        <v>836</v>
      </c>
      <c r="D29" s="819"/>
      <c r="E29" s="819"/>
      <c r="F29" s="820"/>
      <c r="G29" s="11">
        <f>(G27*G28)</f>
        <v>1574</v>
      </c>
      <c r="I29" s="110">
        <f>(I27*I28)</f>
        <v>1420</v>
      </c>
      <c r="K29" s="110">
        <f>(K27*K28)</f>
        <v>1380</v>
      </c>
      <c r="M29" s="110">
        <f>(M27*M28)</f>
        <v>1380</v>
      </c>
      <c r="N29" s="12"/>
      <c r="O29">
        <f>(O27*O28)</f>
        <v>1360</v>
      </c>
      <c r="Q29" s="110">
        <f>(Q27*Q28)</f>
        <v>1400</v>
      </c>
      <c r="S29" s="110">
        <f>(S27*S28)</f>
        <v>1400</v>
      </c>
      <c r="U29" s="110">
        <f>(U27*U28)</f>
        <v>1700</v>
      </c>
      <c r="V29" s="12"/>
      <c r="W29" s="11">
        <f>(W27*W28)</f>
        <v>1380</v>
      </c>
      <c r="Y29" s="110">
        <f>(Y27*Y28)</f>
        <v>1380</v>
      </c>
      <c r="Z29" s="12"/>
      <c r="AA29" s="11">
        <f>(AA27*AA28)</f>
        <v>1340</v>
      </c>
      <c r="AB29" s="12"/>
      <c r="AC29">
        <f>(AC27*AC28)</f>
        <v>1750</v>
      </c>
      <c r="AE29" s="110">
        <f>(AE27*AE28)</f>
        <v>1750</v>
      </c>
      <c r="AG29" s="110">
        <f>(AG27*AG28)</f>
        <v>1750</v>
      </c>
      <c r="AH29" s="2"/>
      <c r="AI29">
        <f>(AI27*AI28)</f>
        <v>1750</v>
      </c>
      <c r="AK29" s="11">
        <f>(AK27*AK28)</f>
        <v>2250</v>
      </c>
      <c r="AM29" s="110">
        <f>(AM27*AM28)</f>
        <v>2250</v>
      </c>
      <c r="AN29" s="12"/>
      <c r="AO29" s="819" t="s">
        <v>192</v>
      </c>
      <c r="AP29" s="819"/>
      <c r="AQ29" s="819"/>
      <c r="AR29" s="820"/>
    </row>
    <row r="30" spans="1:44" x14ac:dyDescent="0.2">
      <c r="A30" s="34"/>
      <c r="B30" s="11" t="s">
        <v>193</v>
      </c>
      <c r="C30" s="819" t="s">
        <v>194</v>
      </c>
      <c r="D30" s="819"/>
      <c r="E30" s="819"/>
      <c r="F30" s="820"/>
      <c r="G30" s="352">
        <f>J4/100</f>
        <v>0.1</v>
      </c>
      <c r="I30" s="112">
        <f>J4/100</f>
        <v>0.1</v>
      </c>
      <c r="K30" s="112">
        <f>J4/100</f>
        <v>0.1</v>
      </c>
      <c r="M30" s="112">
        <f>J4/100</f>
        <v>0.1</v>
      </c>
      <c r="N30" s="12"/>
      <c r="O30" s="38">
        <f>J4/100</f>
        <v>0.1</v>
      </c>
      <c r="Q30" s="112">
        <f>J4/100</f>
        <v>0.1</v>
      </c>
      <c r="S30" s="112">
        <f>J4/100</f>
        <v>0.1</v>
      </c>
      <c r="U30" s="112">
        <f>J4/100</f>
        <v>0.1</v>
      </c>
      <c r="V30" s="12"/>
      <c r="W30" s="352">
        <f>J4/100</f>
        <v>0.1</v>
      </c>
      <c r="Y30" s="112">
        <f>J4/100</f>
        <v>0.1</v>
      </c>
      <c r="Z30" s="12"/>
      <c r="AA30" s="352">
        <f>J4/100</f>
        <v>0.1</v>
      </c>
      <c r="AB30" s="12"/>
      <c r="AC30" s="38">
        <f>J4/100</f>
        <v>0.1</v>
      </c>
      <c r="AE30" s="112">
        <f>J4/100</f>
        <v>0.1</v>
      </c>
      <c r="AG30" s="112">
        <f>J4/100</f>
        <v>0.1</v>
      </c>
      <c r="AH30" s="2"/>
      <c r="AI30" s="38">
        <f>J4/100</f>
        <v>0.1</v>
      </c>
      <c r="AK30" s="352">
        <f>J4/100</f>
        <v>0.1</v>
      </c>
      <c r="AM30" s="112">
        <f>J4/100</f>
        <v>0.1</v>
      </c>
      <c r="AN30" s="12"/>
      <c r="AO30" s="819" t="s">
        <v>194</v>
      </c>
      <c r="AP30" s="819"/>
      <c r="AQ30" s="819"/>
      <c r="AR30" s="820"/>
    </row>
    <row r="31" spans="1:44" x14ac:dyDescent="0.2">
      <c r="A31" s="34"/>
      <c r="B31" s="11" t="s">
        <v>195</v>
      </c>
      <c r="C31" s="819" t="s">
        <v>837</v>
      </c>
      <c r="D31" s="819"/>
      <c r="E31" s="819"/>
      <c r="F31" s="820"/>
      <c r="G31" s="352">
        <f>J5/100</f>
        <v>0.5</v>
      </c>
      <c r="I31" s="112">
        <f>J5/100</f>
        <v>0.5</v>
      </c>
      <c r="K31" s="112">
        <f>J5/100</f>
        <v>0.5</v>
      </c>
      <c r="M31" s="112">
        <f>J5/100</f>
        <v>0.5</v>
      </c>
      <c r="N31" s="12"/>
      <c r="O31" s="38">
        <f>J5/100</f>
        <v>0.5</v>
      </c>
      <c r="Q31" s="112">
        <f>J5/100</f>
        <v>0.5</v>
      </c>
      <c r="S31" s="112">
        <f>J5/100</f>
        <v>0.5</v>
      </c>
      <c r="U31" s="112">
        <f>J5/100</f>
        <v>0.5</v>
      </c>
      <c r="V31" s="12"/>
      <c r="W31" s="352">
        <f>J5/100</f>
        <v>0.5</v>
      </c>
      <c r="Y31" s="112">
        <f>J5/100</f>
        <v>0.5</v>
      </c>
      <c r="Z31" s="12"/>
      <c r="AA31" s="352">
        <f>J5/100</f>
        <v>0.5</v>
      </c>
      <c r="AB31" s="12"/>
      <c r="AC31" s="38">
        <f>J5/100</f>
        <v>0.5</v>
      </c>
      <c r="AE31" s="112">
        <f>J5/100</f>
        <v>0.5</v>
      </c>
      <c r="AG31" s="112">
        <f>J5/100</f>
        <v>0.5</v>
      </c>
      <c r="AH31" s="2"/>
      <c r="AI31" s="38">
        <f>J5/100</f>
        <v>0.5</v>
      </c>
      <c r="AK31" s="352">
        <f>J5/100</f>
        <v>0.5</v>
      </c>
      <c r="AM31" s="112">
        <f>J5/100</f>
        <v>0.5</v>
      </c>
      <c r="AN31" s="12"/>
      <c r="AO31" s="819" t="s">
        <v>196</v>
      </c>
      <c r="AP31" s="819"/>
      <c r="AQ31" s="819"/>
      <c r="AR31" s="820"/>
    </row>
    <row r="32" spans="1:44" x14ac:dyDescent="0.2">
      <c r="A32" s="34"/>
      <c r="B32" s="11" t="s">
        <v>197</v>
      </c>
      <c r="C32" s="819" t="s">
        <v>198</v>
      </c>
      <c r="D32" s="819"/>
      <c r="E32" s="819"/>
      <c r="F32" s="820"/>
      <c r="G32" s="351">
        <v>1.3350000000000001E-2</v>
      </c>
      <c r="I32" s="111">
        <v>2.9170000000000001E-2</v>
      </c>
      <c r="K32" s="368">
        <v>2.6329999999999999E-2</v>
      </c>
      <c r="M32" s="368">
        <v>2.6329999999999999E-2</v>
      </c>
      <c r="N32" s="12"/>
      <c r="O32" s="10">
        <v>2.7E-2</v>
      </c>
      <c r="Q32" s="111">
        <v>2.9170000000000001E-2</v>
      </c>
      <c r="S32" s="111">
        <v>2.9170000000000001E-2</v>
      </c>
      <c r="U32" s="111">
        <v>2.4879999999999999E-2</v>
      </c>
      <c r="V32" s="12"/>
      <c r="W32" s="351">
        <v>3.9320000000000001E-2</v>
      </c>
      <c r="Y32" s="111">
        <v>3.9320000000000001E-2</v>
      </c>
      <c r="Z32" s="12"/>
      <c r="AA32" s="351">
        <v>2.1659999999999999E-2</v>
      </c>
      <c r="AB32" s="12"/>
      <c r="AC32" s="10">
        <v>2.3E-2</v>
      </c>
      <c r="AE32" s="111">
        <v>2.3E-2</v>
      </c>
      <c r="AG32" s="111">
        <v>2.9000000000000001E-2</v>
      </c>
      <c r="AH32" s="2"/>
      <c r="AI32" s="10">
        <v>2.9000000000000001E-2</v>
      </c>
      <c r="AK32" s="351">
        <v>2.4E-2</v>
      </c>
      <c r="AM32" s="111">
        <v>2.1999999999999999E-2</v>
      </c>
      <c r="AN32" s="12"/>
      <c r="AO32" s="819" t="s">
        <v>198</v>
      </c>
      <c r="AP32" s="819"/>
      <c r="AQ32" s="819"/>
      <c r="AR32" s="820"/>
    </row>
    <row r="33" spans="1:44" x14ac:dyDescent="0.2">
      <c r="A33" s="34"/>
      <c r="B33" s="11" t="s">
        <v>199</v>
      </c>
      <c r="C33" s="819" t="s">
        <v>200</v>
      </c>
      <c r="D33" s="819"/>
      <c r="E33" s="819"/>
      <c r="F33" s="820"/>
      <c r="G33" s="351">
        <v>5.5</v>
      </c>
      <c r="I33" s="111">
        <v>281</v>
      </c>
      <c r="K33" s="111">
        <v>300</v>
      </c>
      <c r="M33" s="111">
        <v>300</v>
      </c>
      <c r="N33" s="12"/>
      <c r="O33" s="10">
        <v>300</v>
      </c>
      <c r="Q33" s="111">
        <v>263</v>
      </c>
      <c r="S33" s="111">
        <v>263</v>
      </c>
      <c r="U33" s="111">
        <v>281</v>
      </c>
      <c r="V33" s="12"/>
      <c r="W33" s="351">
        <v>194</v>
      </c>
      <c r="Y33" s="111">
        <v>194</v>
      </c>
      <c r="Z33" s="12"/>
      <c r="AA33" s="351">
        <v>264</v>
      </c>
      <c r="AB33" s="12"/>
      <c r="AC33" s="182">
        <v>450</v>
      </c>
      <c r="AE33" s="359">
        <v>750</v>
      </c>
      <c r="AG33" s="359">
        <v>550</v>
      </c>
      <c r="AH33" s="2"/>
      <c r="AI33" s="182">
        <v>1050</v>
      </c>
      <c r="AK33" s="351">
        <v>650</v>
      </c>
      <c r="AM33" s="111">
        <v>650</v>
      </c>
      <c r="AN33" s="12"/>
      <c r="AO33" s="819" t="s">
        <v>200</v>
      </c>
      <c r="AP33" s="819"/>
      <c r="AQ33" s="819"/>
      <c r="AR33" s="820"/>
    </row>
    <row r="34" spans="1:44" x14ac:dyDescent="0.2">
      <c r="A34" s="34"/>
      <c r="B34" s="11"/>
      <c r="C34" s="819" t="s">
        <v>201</v>
      </c>
      <c r="D34" s="819"/>
      <c r="E34" s="819"/>
      <c r="F34" s="820"/>
      <c r="G34" s="353">
        <f>J6</f>
        <v>5</v>
      </c>
      <c r="H34" s="4"/>
      <c r="I34" s="113">
        <f>J6</f>
        <v>5</v>
      </c>
      <c r="J34" s="4"/>
      <c r="K34" s="113">
        <f>J6</f>
        <v>5</v>
      </c>
      <c r="L34" s="4"/>
      <c r="M34" s="113">
        <f>J6</f>
        <v>5</v>
      </c>
      <c r="N34" s="33"/>
      <c r="O34" s="107">
        <f>J6</f>
        <v>5</v>
      </c>
      <c r="P34" s="4"/>
      <c r="Q34" s="113">
        <f>J6</f>
        <v>5</v>
      </c>
      <c r="R34" s="4"/>
      <c r="S34" s="113">
        <f>J6</f>
        <v>5</v>
      </c>
      <c r="T34" s="4"/>
      <c r="U34" s="113">
        <f>J6</f>
        <v>5</v>
      </c>
      <c r="V34" s="33"/>
      <c r="W34" s="353">
        <f>J6</f>
        <v>5</v>
      </c>
      <c r="X34" s="4"/>
      <c r="Y34" s="113">
        <f>J6</f>
        <v>5</v>
      </c>
      <c r="Z34" s="33"/>
      <c r="AA34" s="353">
        <f>J6</f>
        <v>5</v>
      </c>
      <c r="AB34" s="12"/>
      <c r="AC34" s="107">
        <f>J6</f>
        <v>5</v>
      </c>
      <c r="AE34" s="113">
        <f>J6</f>
        <v>5</v>
      </c>
      <c r="AG34" s="113">
        <f>J6</f>
        <v>5</v>
      </c>
      <c r="AH34" s="2"/>
      <c r="AI34" s="107">
        <f>J6</f>
        <v>5</v>
      </c>
      <c r="AK34" s="353">
        <f>J6</f>
        <v>5</v>
      </c>
      <c r="AM34" s="113">
        <f>J6</f>
        <v>5</v>
      </c>
      <c r="AN34" s="12"/>
      <c r="AO34" s="819" t="s">
        <v>201</v>
      </c>
      <c r="AP34" s="819"/>
      <c r="AQ34" s="819"/>
      <c r="AR34" s="820"/>
    </row>
    <row r="35" spans="1:44" x14ac:dyDescent="0.2">
      <c r="A35" s="34"/>
      <c r="B35" s="11" t="s">
        <v>202</v>
      </c>
      <c r="C35" s="819" t="s">
        <v>203</v>
      </c>
      <c r="D35" s="819"/>
      <c r="E35" s="819"/>
      <c r="F35" s="820"/>
      <c r="G35" s="352">
        <v>0.5</v>
      </c>
      <c r="I35" s="366">
        <v>0.36770000000000003</v>
      </c>
      <c r="K35" s="366">
        <v>0.36770000000000003</v>
      </c>
      <c r="M35" s="366">
        <v>0.36770000000000003</v>
      </c>
      <c r="N35" s="12"/>
      <c r="O35" s="38">
        <v>0.37</v>
      </c>
      <c r="Q35" s="112">
        <v>0.36770000000000003</v>
      </c>
      <c r="S35" s="112">
        <v>0.36770000000000003</v>
      </c>
      <c r="U35" s="112">
        <v>0.36770000000000003</v>
      </c>
      <c r="V35" s="12"/>
      <c r="W35" s="352">
        <v>0.37</v>
      </c>
      <c r="Y35" s="112">
        <v>0.37</v>
      </c>
      <c r="Z35" s="12"/>
      <c r="AA35" s="352">
        <v>0.36770000000000003</v>
      </c>
      <c r="AB35" s="12"/>
      <c r="AC35" s="38">
        <v>0.36770000000000003</v>
      </c>
      <c r="AE35" s="112">
        <v>0.36770000000000003</v>
      </c>
      <c r="AG35" s="112">
        <v>0.36770000000000003</v>
      </c>
      <c r="AH35" s="2"/>
      <c r="AI35" s="38">
        <v>0.36770000000000003</v>
      </c>
      <c r="AK35" s="352">
        <v>0.36770000000000003</v>
      </c>
      <c r="AM35" s="112">
        <v>0.36770000000000003</v>
      </c>
      <c r="AN35" s="12"/>
      <c r="AO35" s="819" t="s">
        <v>203</v>
      </c>
      <c r="AP35" s="819"/>
      <c r="AQ35" s="819"/>
      <c r="AR35" s="820"/>
    </row>
    <row r="36" spans="1:44" x14ac:dyDescent="0.2">
      <c r="A36" s="34"/>
      <c r="B36" s="11" t="s">
        <v>204</v>
      </c>
      <c r="C36" s="819" t="s">
        <v>205</v>
      </c>
      <c r="D36" s="819"/>
      <c r="E36" s="819"/>
      <c r="F36" s="820"/>
      <c r="G36" s="351">
        <v>40</v>
      </c>
      <c r="I36" s="111">
        <f>J7</f>
        <v>27</v>
      </c>
      <c r="K36" s="111">
        <f>J7</f>
        <v>27</v>
      </c>
      <c r="M36" s="111">
        <f>J7</f>
        <v>27</v>
      </c>
      <c r="N36" s="12"/>
      <c r="O36" s="10">
        <v>20</v>
      </c>
      <c r="Q36" s="111">
        <f>J7</f>
        <v>27</v>
      </c>
      <c r="S36" s="111">
        <f>J7</f>
        <v>27</v>
      </c>
      <c r="U36" s="111">
        <f>J7</f>
        <v>27</v>
      </c>
      <c r="V36" s="12"/>
      <c r="W36" s="351">
        <f>J7</f>
        <v>27</v>
      </c>
      <c r="Y36" s="111">
        <f>J7</f>
        <v>27</v>
      </c>
      <c r="Z36" s="12"/>
      <c r="AA36" s="351">
        <f>J7</f>
        <v>27</v>
      </c>
      <c r="AB36" s="12"/>
      <c r="AC36" s="10">
        <v>0</v>
      </c>
      <c r="AE36" s="111">
        <v>0</v>
      </c>
      <c r="AG36" s="111">
        <v>0</v>
      </c>
      <c r="AH36" s="2"/>
      <c r="AI36" s="10">
        <v>0</v>
      </c>
      <c r="AK36" s="351">
        <f>J7</f>
        <v>27</v>
      </c>
      <c r="AM36" s="111">
        <f>J7</f>
        <v>27</v>
      </c>
      <c r="AN36" s="12"/>
      <c r="AO36" s="819" t="s">
        <v>205</v>
      </c>
      <c r="AP36" s="819"/>
      <c r="AQ36" s="819"/>
      <c r="AR36" s="820"/>
    </row>
    <row r="37" spans="1:44" x14ac:dyDescent="0.2">
      <c r="A37" s="34"/>
      <c r="B37" s="11" t="s">
        <v>206</v>
      </c>
      <c r="C37" s="819" t="s">
        <v>207</v>
      </c>
      <c r="D37" s="819"/>
      <c r="E37" s="819"/>
      <c r="F37" s="820"/>
      <c r="G37" s="352">
        <f>J8/100</f>
        <v>0.35</v>
      </c>
      <c r="I37" s="112">
        <f>J8/100</f>
        <v>0.35</v>
      </c>
      <c r="K37" s="112">
        <f>J8/100</f>
        <v>0.35</v>
      </c>
      <c r="M37" s="112">
        <f>J8/100</f>
        <v>0.35</v>
      </c>
      <c r="N37" s="12"/>
      <c r="O37" s="38">
        <f>J8/100</f>
        <v>0.35</v>
      </c>
      <c r="Q37" s="112">
        <f>J8/100</f>
        <v>0.35</v>
      </c>
      <c r="S37" s="112">
        <f>J8/100</f>
        <v>0.35</v>
      </c>
      <c r="U37" s="112">
        <f>J8/100</f>
        <v>0.35</v>
      </c>
      <c r="V37" s="12"/>
      <c r="W37" s="352">
        <f>J8/100</f>
        <v>0.35</v>
      </c>
      <c r="Y37" s="112">
        <f>J8/100</f>
        <v>0.35</v>
      </c>
      <c r="Z37" s="12"/>
      <c r="AA37" s="352">
        <f>J8/100</f>
        <v>0.35</v>
      </c>
      <c r="AB37" s="12"/>
      <c r="AC37" s="38">
        <f>J8/100</f>
        <v>0.35</v>
      </c>
      <c r="AE37" s="112">
        <f>J8/100</f>
        <v>0.35</v>
      </c>
      <c r="AG37" s="112">
        <f>J8/100</f>
        <v>0.35</v>
      </c>
      <c r="AH37" s="2"/>
      <c r="AI37" s="38">
        <f>J8/100</f>
        <v>0.35</v>
      </c>
      <c r="AK37" s="352">
        <f>J8/100</f>
        <v>0.35</v>
      </c>
      <c r="AM37" s="112">
        <f>J8/100</f>
        <v>0.35</v>
      </c>
      <c r="AN37" s="12"/>
      <c r="AO37" s="819" t="s">
        <v>207</v>
      </c>
      <c r="AP37" s="819"/>
      <c r="AQ37" s="819"/>
      <c r="AR37" s="820"/>
    </row>
    <row r="38" spans="1:44" ht="16" thickBot="1" x14ac:dyDescent="0.25">
      <c r="A38" s="34"/>
      <c r="B38" s="11"/>
      <c r="F38" s="12"/>
      <c r="G38" s="11"/>
      <c r="I38" s="110"/>
      <c r="K38" s="110"/>
      <c r="M38" s="110"/>
      <c r="N38" s="12"/>
      <c r="O38" s="10">
        <v>5</v>
      </c>
      <c r="P38" s="2" t="s">
        <v>208</v>
      </c>
      <c r="R38" s="2"/>
      <c r="U38" s="110"/>
      <c r="V38" s="12"/>
      <c r="W38" s="11"/>
      <c r="Y38" s="110"/>
      <c r="Z38" s="12"/>
      <c r="AA38" s="11"/>
      <c r="AB38" s="12"/>
      <c r="AE38" s="110"/>
      <c r="AG38" s="110"/>
      <c r="AH38" s="2"/>
      <c r="AK38" s="11"/>
      <c r="AM38" s="110"/>
      <c r="AN38" s="12"/>
      <c r="AO38" s="34"/>
      <c r="AP38" s="34"/>
    </row>
    <row r="39" spans="1:44" s="15" customFormat="1" ht="16" thickBot="1" x14ac:dyDescent="0.25">
      <c r="A39" s="213"/>
      <c r="B39" s="691" t="s">
        <v>209</v>
      </c>
      <c r="C39" s="692"/>
      <c r="D39" s="692"/>
      <c r="E39" s="693"/>
      <c r="F39" s="280"/>
      <c r="G39" s="229" t="s">
        <v>172</v>
      </c>
      <c r="H39" s="15" t="s">
        <v>178</v>
      </c>
      <c r="I39" s="371" t="s">
        <v>172</v>
      </c>
      <c r="J39" s="214" t="s">
        <v>178</v>
      </c>
      <c r="K39" s="371" t="s">
        <v>172</v>
      </c>
      <c r="L39" s="214" t="s">
        <v>178</v>
      </c>
      <c r="M39" s="371" t="s">
        <v>172</v>
      </c>
      <c r="N39" s="372" t="s">
        <v>178</v>
      </c>
      <c r="O39" s="15" t="s">
        <v>172</v>
      </c>
      <c r="P39" s="373" t="s">
        <v>178</v>
      </c>
      <c r="Q39" s="15" t="s">
        <v>172</v>
      </c>
      <c r="R39" s="373" t="s">
        <v>178</v>
      </c>
      <c r="S39" s="15" t="s">
        <v>172</v>
      </c>
      <c r="T39" s="373" t="s">
        <v>178</v>
      </c>
      <c r="U39" s="15" t="s">
        <v>172</v>
      </c>
      <c r="V39" s="15" t="s">
        <v>178</v>
      </c>
      <c r="W39" s="229" t="s">
        <v>172</v>
      </c>
      <c r="X39" s="15" t="s">
        <v>178</v>
      </c>
      <c r="Y39" s="371" t="s">
        <v>172</v>
      </c>
      <c r="Z39" s="372" t="s">
        <v>178</v>
      </c>
      <c r="AA39" s="229" t="s">
        <v>172</v>
      </c>
      <c r="AB39" s="280" t="s">
        <v>178</v>
      </c>
      <c r="AC39" s="15" t="s">
        <v>172</v>
      </c>
      <c r="AD39" s="15" t="s">
        <v>178</v>
      </c>
      <c r="AE39" s="374" t="s">
        <v>172</v>
      </c>
      <c r="AF39" s="15" t="s">
        <v>178</v>
      </c>
      <c r="AG39" s="374" t="s">
        <v>172</v>
      </c>
      <c r="AH39" s="373" t="s">
        <v>178</v>
      </c>
      <c r="AI39" s="15" t="s">
        <v>172</v>
      </c>
      <c r="AJ39" s="15" t="s">
        <v>178</v>
      </c>
      <c r="AK39" s="229" t="s">
        <v>172</v>
      </c>
      <c r="AL39" s="15" t="s">
        <v>178</v>
      </c>
      <c r="AM39" s="374" t="s">
        <v>172</v>
      </c>
      <c r="AN39" s="280" t="s">
        <v>178</v>
      </c>
      <c r="AO39" s="213"/>
      <c r="AP39" s="213"/>
    </row>
    <row r="40" spans="1:44" x14ac:dyDescent="0.2">
      <c r="A40" s="34"/>
      <c r="B40" s="41" t="s">
        <v>210</v>
      </c>
      <c r="C40" s="36" t="s">
        <v>656</v>
      </c>
      <c r="D40" s="36"/>
      <c r="E40" s="36"/>
      <c r="F40" s="37"/>
      <c r="G40" s="354">
        <f>(G24-G25)/(G27*G26)</f>
        <v>0.2</v>
      </c>
      <c r="H40" s="43">
        <f>G40/G28</f>
        <v>0.25412960609911056</v>
      </c>
      <c r="I40" s="42">
        <f>(I24-I25)/(I27*I26)</f>
        <v>52.5</v>
      </c>
      <c r="J40" s="43">
        <f>I40/I28</f>
        <v>73.943661971830991</v>
      </c>
      <c r="K40" s="42">
        <f>(K24-K25)/(K27*K26)</f>
        <v>33.877358490566039</v>
      </c>
      <c r="L40" s="43">
        <f>K40/K28</f>
        <v>49.097621000820347</v>
      </c>
      <c r="M40" s="42">
        <f>(M24-M25)/(M27*M26)</f>
        <v>27.101886792452831</v>
      </c>
      <c r="N40" s="44">
        <f>M40/M28</f>
        <v>39.278096800656279</v>
      </c>
      <c r="O40" s="42">
        <f>(O24-O25)/(O27*O26)</f>
        <v>34.285714285714285</v>
      </c>
      <c r="P40" s="43">
        <f>O40/O28</f>
        <v>50.420168067226882</v>
      </c>
      <c r="Q40" s="42">
        <f>(Q24-Q25)/(Q27*Q26)</f>
        <v>28.8</v>
      </c>
      <c r="R40" s="43">
        <f>Q40/Q28</f>
        <v>41.142857142857146</v>
      </c>
      <c r="S40" s="42">
        <f>(S24-S25)/(S27*S26)</f>
        <v>32.4</v>
      </c>
      <c r="T40" s="43">
        <f>S40/S28</f>
        <v>46.285714285714285</v>
      </c>
      <c r="U40" s="42">
        <f>(U24-U25)/(U27*U26)</f>
        <v>35.75</v>
      </c>
      <c r="V40" s="42">
        <f>U40/U28</f>
        <v>42.058823529411768</v>
      </c>
      <c r="W40" s="354">
        <f>(W24-W25)/(W27*W26)</f>
        <v>34.4</v>
      </c>
      <c r="X40" s="43">
        <f>W40/W28</f>
        <v>49.855072463768117</v>
      </c>
      <c r="Y40" s="42">
        <f>(Y24-Y25)/(Y27*Y26)</f>
        <v>56</v>
      </c>
      <c r="Z40" s="44">
        <f>Y40/Y28</f>
        <v>81.159420289855078</v>
      </c>
      <c r="AA40" s="354">
        <f>(AA24-AA25)/(AA27*AA26)</f>
        <v>36</v>
      </c>
      <c r="AB40" s="44">
        <f>AA40/AA28</f>
        <v>53.731343283582085</v>
      </c>
      <c r="AC40" s="42">
        <f>(AC24-AC25)/(AC27*AC26)</f>
        <v>22.4</v>
      </c>
      <c r="AD40" s="42">
        <f>AC40/AC28</f>
        <v>32</v>
      </c>
      <c r="AE40" s="360">
        <f>(AE24-AE25)/(AE27*AE26)</f>
        <v>41.6</v>
      </c>
      <c r="AF40" s="42">
        <f>AE40/AE28</f>
        <v>59.428571428571438</v>
      </c>
      <c r="AG40" s="360">
        <f>(AG24-AG25)/(AG27*AG26)</f>
        <v>25.6</v>
      </c>
      <c r="AH40" s="43">
        <f>AG40/AG28</f>
        <v>36.571428571428577</v>
      </c>
      <c r="AI40" s="42">
        <f>(AI24-AI25)/(AI27*AI26)</f>
        <v>44.8</v>
      </c>
      <c r="AJ40" s="42">
        <f>AI40/AI28</f>
        <v>64</v>
      </c>
      <c r="AK40" s="354">
        <f>(AK24-AK25)/(AK27*AK26)</f>
        <v>6.8571428571428568</v>
      </c>
      <c r="AL40" s="42">
        <f>AK40/AK28</f>
        <v>7.6190476190476186</v>
      </c>
      <c r="AM40" s="360">
        <f>(AM24-AM25)/(AM27*AM26)</f>
        <v>6.8571428571428568</v>
      </c>
      <c r="AN40" s="44">
        <f>AM40/AM28</f>
        <v>7.6190476190476186</v>
      </c>
      <c r="AO40" s="34"/>
      <c r="AP40" s="34"/>
    </row>
    <row r="41" spans="1:44" x14ac:dyDescent="0.2">
      <c r="A41" s="34"/>
      <c r="B41" s="11" t="s">
        <v>33</v>
      </c>
      <c r="C41" t="s">
        <v>211</v>
      </c>
      <c r="F41" s="12"/>
      <c r="G41" s="11"/>
      <c r="H41" s="2"/>
      <c r="J41" s="2"/>
      <c r="L41" s="2"/>
      <c r="N41" s="12"/>
      <c r="P41" s="2"/>
      <c r="R41" s="2"/>
      <c r="T41" s="2"/>
      <c r="W41" s="11"/>
      <c r="X41" s="2"/>
      <c r="Z41" s="12"/>
      <c r="AA41" s="11"/>
      <c r="AB41" s="12"/>
      <c r="AE41" s="110"/>
      <c r="AG41" s="110"/>
      <c r="AH41" s="2"/>
      <c r="AK41" s="11"/>
      <c r="AM41" s="110"/>
      <c r="AN41" s="12"/>
      <c r="AO41" s="34"/>
      <c r="AP41" s="34"/>
    </row>
    <row r="42" spans="1:44" x14ac:dyDescent="0.2">
      <c r="A42" s="34"/>
      <c r="B42" s="11"/>
      <c r="D42" t="s">
        <v>212</v>
      </c>
      <c r="F42" s="12"/>
      <c r="G42" s="375">
        <f>((G24-G25)*(G26+1)/(G26*2))+G25</f>
        <v>800</v>
      </c>
      <c r="H42" s="376"/>
      <c r="I42" s="31">
        <f>((I24-I25)*(I26+1)/(I26*2))+I25</f>
        <v>540000</v>
      </c>
      <c r="J42" s="376"/>
      <c r="K42" s="31">
        <f>((K24-K25)*(K26+1)/(K26*2))+K25</f>
        <v>304327.35849056602</v>
      </c>
      <c r="L42" s="376"/>
      <c r="M42" s="31">
        <f>((M24-M25)*(M26+1)/(M26*2))+M25</f>
        <v>243461.88679245283</v>
      </c>
      <c r="N42" s="377"/>
      <c r="O42" s="31">
        <f>((O24-O25)*(O26+1)/(O26*2))+O25</f>
        <v>394285.71428571426</v>
      </c>
      <c r="P42" s="376"/>
      <c r="Q42" s="31">
        <f>((Q24-Q25)*(Q26+1)/(Q26*2))+Q25</f>
        <v>244800</v>
      </c>
      <c r="R42" s="376"/>
      <c r="S42" s="31">
        <f>((S24-S25)*(S26+1)/(S26*2))+S25</f>
        <v>275400</v>
      </c>
      <c r="T42" s="376"/>
      <c r="U42" s="31">
        <f>((U24-U25)*(U26+1)/(U26*2))+U25</f>
        <v>407000</v>
      </c>
      <c r="V42" s="31"/>
      <c r="W42" s="375">
        <f>((W24-W25)*(W26+1)/(W26*2))+W25</f>
        <v>292400</v>
      </c>
      <c r="X42" s="376"/>
      <c r="Y42" s="31">
        <f>((Y24-Y25)*(Y26+1)/(Y26*2))+Y25</f>
        <v>476000</v>
      </c>
      <c r="Z42" s="377"/>
      <c r="AA42" s="375">
        <f>((AA24-AA25)*(AA26+1)/(AA26*2))+AA25</f>
        <v>306000</v>
      </c>
      <c r="AB42" s="377"/>
      <c r="AC42" s="31">
        <f>((AC24-AC25)*(AC26+1)/(AC26*2))+AC25</f>
        <v>238000</v>
      </c>
      <c r="AD42" s="31"/>
      <c r="AE42" s="114">
        <f>((AE24-AE25)*(AE26+1)/(AE26*2))+AE25</f>
        <v>442000</v>
      </c>
      <c r="AF42" s="31"/>
      <c r="AG42" s="114">
        <f>((AG24-AG25)*(AG26+1)/(AG26*2))+AG25</f>
        <v>272000</v>
      </c>
      <c r="AH42" s="376"/>
      <c r="AI42" s="31">
        <f>((AI24-AI25)*(AI26+1)/(AI26*2))+AI25</f>
        <v>476000</v>
      </c>
      <c r="AJ42" s="31"/>
      <c r="AK42" s="375">
        <f>((AK24-AK25)*(AK26+1)/(AK26*2))+AK25</f>
        <v>98571.428571428565</v>
      </c>
      <c r="AL42" s="31"/>
      <c r="AM42" s="114">
        <f>((AM24-AM25)*(AM26+1)/(AM26*2))+AM25</f>
        <v>98571.428571428565</v>
      </c>
      <c r="AN42" s="12"/>
      <c r="AO42" s="34"/>
      <c r="AP42" s="34"/>
    </row>
    <row r="43" spans="1:44" x14ac:dyDescent="0.2">
      <c r="A43" s="34"/>
      <c r="B43" s="11"/>
      <c r="D43" t="s">
        <v>213</v>
      </c>
      <c r="F43" s="12"/>
      <c r="G43" s="355">
        <f>G30*G42/G27</f>
        <v>0.04</v>
      </c>
      <c r="H43" s="5">
        <f>G43/G28</f>
        <v>5.0825921219822108E-2</v>
      </c>
      <c r="I43" s="4">
        <f>I30*I42/I27</f>
        <v>27</v>
      </c>
      <c r="J43" s="5">
        <f>I43/I28</f>
        <v>38.028169014084511</v>
      </c>
      <c r="K43" s="4">
        <f>K30*K42/K27</f>
        <v>15.216367924528303</v>
      </c>
      <c r="L43" s="5">
        <f>K43/K28</f>
        <v>22.05270713699754</v>
      </c>
      <c r="M43" s="4">
        <f>M30*M42/M27</f>
        <v>12.173094339622644</v>
      </c>
      <c r="N43" s="33">
        <f>M43/M28</f>
        <v>17.642165709598036</v>
      </c>
      <c r="O43" s="4">
        <f>O30*O42/O27</f>
        <v>19.714285714285715</v>
      </c>
      <c r="P43" s="5">
        <f>O43/O28</f>
        <v>28.991596638655462</v>
      </c>
      <c r="Q43" s="4">
        <f>Q30*Q42/Q27</f>
        <v>12.24</v>
      </c>
      <c r="R43" s="5">
        <f>Q43/Q28</f>
        <v>17.485714285714288</v>
      </c>
      <c r="S43" s="4">
        <f>S30*S42/S27</f>
        <v>13.77</v>
      </c>
      <c r="T43" s="5">
        <f>S43/S28</f>
        <v>19.671428571428571</v>
      </c>
      <c r="U43" s="4">
        <f>U30*U42/U27</f>
        <v>20.350000000000001</v>
      </c>
      <c r="V43" s="4">
        <f>U43/U28</f>
        <v>23.941176470588239</v>
      </c>
      <c r="W43" s="355">
        <f>W30*W42/W27</f>
        <v>14.62</v>
      </c>
      <c r="X43" s="5">
        <f>W43/W28</f>
        <v>21.188405797101449</v>
      </c>
      <c r="Y43" s="4">
        <f>Y30*Y42/Y27</f>
        <v>23.8</v>
      </c>
      <c r="Z43" s="33">
        <f>Y43/Y28</f>
        <v>34.492753623188406</v>
      </c>
      <c r="AA43" s="355">
        <f>AA30*AA42/AA27</f>
        <v>15.3</v>
      </c>
      <c r="AB43" s="33">
        <f>AA43/AA28</f>
        <v>22.835820895522389</v>
      </c>
      <c r="AC43" s="4">
        <f>AC30*AC42/AC27</f>
        <v>9.52</v>
      </c>
      <c r="AD43" s="4">
        <f>AC43/AC28</f>
        <v>13.6</v>
      </c>
      <c r="AE43" s="361">
        <f>AE30*AE42/AE27</f>
        <v>17.68</v>
      </c>
      <c r="AF43" s="4">
        <f>AE43/AE28</f>
        <v>25.25714285714286</v>
      </c>
      <c r="AG43" s="361">
        <f>AG30*AG42/AG27</f>
        <v>10.88</v>
      </c>
      <c r="AH43" s="5">
        <f>AG43/AG28</f>
        <v>15.542857142857144</v>
      </c>
      <c r="AI43" s="4">
        <f>AI30*AI42/AI27</f>
        <v>19.04</v>
      </c>
      <c r="AJ43" s="4">
        <f>AI43/AI28</f>
        <v>27.2</v>
      </c>
      <c r="AK43" s="355">
        <f>AK30*AK42/AK27</f>
        <v>3.9428571428571426</v>
      </c>
      <c r="AL43" s="4">
        <f>AK43/AK28</f>
        <v>4.3809523809523805</v>
      </c>
      <c r="AM43" s="361">
        <f>AM30*AM42/AM27</f>
        <v>3.9428571428571426</v>
      </c>
      <c r="AN43" s="33">
        <f>AM43/AM28</f>
        <v>4.3809523809523805</v>
      </c>
      <c r="AO43" s="34"/>
      <c r="AP43" s="34"/>
    </row>
    <row r="44" spans="1:44" x14ac:dyDescent="0.2">
      <c r="A44" s="34"/>
      <c r="B44" s="39" t="s">
        <v>214</v>
      </c>
      <c r="C44" s="8" t="s">
        <v>215</v>
      </c>
      <c r="D44" s="8"/>
      <c r="E44" s="8"/>
      <c r="F44" s="370"/>
      <c r="G44" s="356">
        <f t="shared" ref="G44:AB44" si="0">G40+G43</f>
        <v>0.24000000000000002</v>
      </c>
      <c r="H44" s="7">
        <f t="shared" si="0"/>
        <v>0.30495552731893266</v>
      </c>
      <c r="I44" s="6">
        <f t="shared" si="0"/>
        <v>79.5</v>
      </c>
      <c r="J44" s="7">
        <f t="shared" si="0"/>
        <v>111.9718309859155</v>
      </c>
      <c r="K44" s="6">
        <f t="shared" si="0"/>
        <v>49.093726415094338</v>
      </c>
      <c r="L44" s="7">
        <f t="shared" si="0"/>
        <v>71.150328137817894</v>
      </c>
      <c r="M44" s="6">
        <f t="shared" si="0"/>
        <v>39.274981132075474</v>
      </c>
      <c r="N44" s="40">
        <f t="shared" si="0"/>
        <v>56.920262510254318</v>
      </c>
      <c r="O44" s="6">
        <f t="shared" si="0"/>
        <v>54</v>
      </c>
      <c r="P44" s="7">
        <f t="shared" si="0"/>
        <v>79.411764705882348</v>
      </c>
      <c r="Q44" s="6">
        <f t="shared" si="0"/>
        <v>41.04</v>
      </c>
      <c r="R44" s="7">
        <f t="shared" si="0"/>
        <v>58.628571428571433</v>
      </c>
      <c r="S44" s="6">
        <f t="shared" si="0"/>
        <v>46.17</v>
      </c>
      <c r="T44" s="7">
        <f t="shared" si="0"/>
        <v>65.957142857142856</v>
      </c>
      <c r="U44" s="6">
        <f t="shared" si="0"/>
        <v>56.1</v>
      </c>
      <c r="V44" s="6">
        <f t="shared" si="0"/>
        <v>66</v>
      </c>
      <c r="W44" s="356">
        <f t="shared" si="0"/>
        <v>49.019999999999996</v>
      </c>
      <c r="X44" s="7">
        <f t="shared" si="0"/>
        <v>71.043478260869563</v>
      </c>
      <c r="Y44" s="6">
        <f t="shared" si="0"/>
        <v>79.8</v>
      </c>
      <c r="Z44" s="40">
        <f t="shared" si="0"/>
        <v>115.65217391304348</v>
      </c>
      <c r="AA44" s="356">
        <f t="shared" si="0"/>
        <v>51.3</v>
      </c>
      <c r="AB44" s="40">
        <f t="shared" si="0"/>
        <v>76.567164179104481</v>
      </c>
      <c r="AC44" s="6">
        <f t="shared" ref="AC44:AJ44" si="1">AC40+AC43</f>
        <v>31.919999999999998</v>
      </c>
      <c r="AD44" s="6">
        <f t="shared" si="1"/>
        <v>45.6</v>
      </c>
      <c r="AE44" s="362">
        <f t="shared" si="1"/>
        <v>59.28</v>
      </c>
      <c r="AF44" s="6">
        <f t="shared" si="1"/>
        <v>84.685714285714297</v>
      </c>
      <c r="AG44" s="362">
        <f t="shared" si="1"/>
        <v>36.480000000000004</v>
      </c>
      <c r="AH44" s="7">
        <f t="shared" si="1"/>
        <v>52.114285714285721</v>
      </c>
      <c r="AI44" s="6">
        <f t="shared" si="1"/>
        <v>63.839999999999996</v>
      </c>
      <c r="AJ44" s="6">
        <f t="shared" si="1"/>
        <v>91.2</v>
      </c>
      <c r="AK44" s="356">
        <f>AK40+AK43</f>
        <v>10.799999999999999</v>
      </c>
      <c r="AL44" s="6">
        <f>AL40+AL43</f>
        <v>12</v>
      </c>
      <c r="AM44" s="362">
        <f>AM40+AM43</f>
        <v>10.799999999999999</v>
      </c>
      <c r="AN44" s="40">
        <f>AN40+AN43</f>
        <v>12</v>
      </c>
      <c r="AO44" s="34"/>
      <c r="AP44" s="34"/>
    </row>
    <row r="45" spans="1:44" ht="16" thickBot="1" x14ac:dyDescent="0.25">
      <c r="A45" s="34"/>
      <c r="B45" s="11"/>
      <c r="F45" s="12"/>
      <c r="G45" s="11"/>
      <c r="H45" s="2"/>
      <c r="J45" s="2"/>
      <c r="L45" s="2"/>
      <c r="N45" s="12"/>
      <c r="P45" s="2"/>
      <c r="R45" s="2"/>
      <c r="T45" s="2"/>
      <c r="W45" s="11"/>
      <c r="X45" s="2"/>
      <c r="Z45" s="12"/>
      <c r="AA45" s="11"/>
      <c r="AB45" s="12"/>
      <c r="AE45" s="110"/>
      <c r="AG45" s="110"/>
      <c r="AH45" s="2"/>
      <c r="AK45" s="11"/>
      <c r="AM45" s="110"/>
      <c r="AN45" s="12"/>
      <c r="AO45" s="34"/>
      <c r="AP45" s="34"/>
    </row>
    <row r="46" spans="1:44" ht="16" thickBot="1" x14ac:dyDescent="0.25">
      <c r="A46" s="34"/>
      <c r="B46" s="828" t="s">
        <v>216</v>
      </c>
      <c r="C46" s="829"/>
      <c r="D46" s="829"/>
      <c r="E46" s="830"/>
      <c r="F46" s="12"/>
      <c r="G46" s="11"/>
      <c r="H46" s="2"/>
      <c r="J46" s="2"/>
      <c r="L46" s="2"/>
      <c r="N46" s="12"/>
      <c r="P46" s="2"/>
      <c r="R46" s="2"/>
      <c r="T46" s="2"/>
      <c r="W46" s="11"/>
      <c r="X46" s="2"/>
      <c r="Z46" s="12"/>
      <c r="AA46" s="11"/>
      <c r="AB46" s="12"/>
      <c r="AE46" s="110"/>
      <c r="AG46" s="110"/>
      <c r="AH46" s="2"/>
      <c r="AK46" s="11"/>
      <c r="AM46" s="110"/>
      <c r="AN46" s="12"/>
      <c r="AO46" s="34"/>
      <c r="AP46" s="34"/>
    </row>
    <row r="47" spans="1:44" x14ac:dyDescent="0.2">
      <c r="A47" s="34"/>
      <c r="B47" s="41" t="s">
        <v>217</v>
      </c>
      <c r="C47" s="36" t="s">
        <v>218</v>
      </c>
      <c r="D47" s="36"/>
      <c r="E47" s="36"/>
      <c r="F47" s="37"/>
      <c r="G47" s="354">
        <f>H47*G28</f>
        <v>0.1</v>
      </c>
      <c r="H47" s="43">
        <f>G31*((G24-G25)/G26)/(G27*G28)</f>
        <v>0.12706480304955528</v>
      </c>
      <c r="I47" s="42">
        <f>J47*I28</f>
        <v>26.25</v>
      </c>
      <c r="J47" s="43">
        <f>I31*((I24-I25)/I26)/(I27*I28)</f>
        <v>36.971830985915496</v>
      </c>
      <c r="K47" s="42">
        <f>L47*K28</f>
        <v>16.938679245283019</v>
      </c>
      <c r="L47" s="43">
        <f>K31*((K24-K25)/K26)/(K27*K28)</f>
        <v>24.548810500410173</v>
      </c>
      <c r="M47" s="42">
        <f>N47*M28</f>
        <v>13.550943396226415</v>
      </c>
      <c r="N47" s="44">
        <f>M31*((M24-M25)/M26)/(M27*M28)</f>
        <v>19.639048400328139</v>
      </c>
      <c r="O47" s="36">
        <f>P47*O28</f>
        <v>17.142857142857142</v>
      </c>
      <c r="P47" s="43">
        <f>O31*((O24-O25)/O26)/(O27*O28)</f>
        <v>25.210084033613445</v>
      </c>
      <c r="Q47" s="36">
        <f>R47*Q28</f>
        <v>14.4</v>
      </c>
      <c r="R47" s="43">
        <f>Q31*((Q24-Q25)/Q26)/(Q27*Q28)</f>
        <v>20.571428571428573</v>
      </c>
      <c r="S47" s="36">
        <f>T47*S28</f>
        <v>16.2</v>
      </c>
      <c r="T47" s="43">
        <f>S31*((S24-S25)/S26)/(S27*S28)</f>
        <v>23.142857142857142</v>
      </c>
      <c r="U47" s="36">
        <f>V47*U28</f>
        <v>17.875</v>
      </c>
      <c r="V47" s="42">
        <f>U31*((U24-U25)/U26)/(U27*U28)</f>
        <v>21.029411764705884</v>
      </c>
      <c r="W47" s="354">
        <f>X47*W28</f>
        <v>17.2</v>
      </c>
      <c r="X47" s="43">
        <f>W31*((W24-W25)/W26)/(W27*W28)</f>
        <v>24.927536231884059</v>
      </c>
      <c r="Y47" s="42">
        <f>Z47*Y28</f>
        <v>28</v>
      </c>
      <c r="Z47" s="44">
        <f>Y31*((Y24-Y25)/Y26)/(Y27*Y28)</f>
        <v>40.579710144927539</v>
      </c>
      <c r="AA47" s="354">
        <f>AB47*AA28</f>
        <v>18.000000000000004</v>
      </c>
      <c r="AB47" s="44">
        <f>AA31*((AA24-AA25)/AA26)/(AA27*AA28)</f>
        <v>26.865671641791046</v>
      </c>
      <c r="AC47" s="42">
        <f>AD47*AC28</f>
        <v>11.2</v>
      </c>
      <c r="AD47" s="42">
        <f>AC31*((AC24-AC25)/AC26)/(AC27*AC28)</f>
        <v>16</v>
      </c>
      <c r="AE47" s="360">
        <f>AF47*AE28</f>
        <v>20.8</v>
      </c>
      <c r="AF47" s="42">
        <f>AE31*((AE24-AE25)/AE26)/(AE27*AE28)</f>
        <v>29.714285714285715</v>
      </c>
      <c r="AG47" s="360">
        <f>AH47*AG28</f>
        <v>12.799999999999999</v>
      </c>
      <c r="AH47" s="43">
        <f>AG31*((AG24-AG25)/AG26)/(AG27*AG28)</f>
        <v>18.285714285714285</v>
      </c>
      <c r="AI47" s="42">
        <f>AJ47*AI28</f>
        <v>22.4</v>
      </c>
      <c r="AJ47" s="42">
        <f>AI31*((AI24-AI25)/AI26)/(AI27*AI28)</f>
        <v>32</v>
      </c>
      <c r="AK47" s="354">
        <f>AL47*AK28</f>
        <v>3.4285714285714284</v>
      </c>
      <c r="AL47" s="42">
        <f>AK31*((AK24-AK25)/AK26)/(AK27*AK28)</f>
        <v>3.8095238095238093</v>
      </c>
      <c r="AM47" s="360">
        <f>AN47*AM28</f>
        <v>3.4285714285714284</v>
      </c>
      <c r="AN47" s="44">
        <f>AM31*((AM24-AM25)/AM26)/(AM27*AM28)</f>
        <v>3.8095238095238093</v>
      </c>
      <c r="AO47" s="34"/>
      <c r="AP47" s="34"/>
    </row>
    <row r="48" spans="1:44" x14ac:dyDescent="0.2">
      <c r="A48" s="34"/>
      <c r="B48" s="11" t="s">
        <v>219</v>
      </c>
      <c r="C48" t="s">
        <v>220</v>
      </c>
      <c r="F48" s="12"/>
      <c r="G48" s="11"/>
      <c r="H48" s="2"/>
      <c r="J48" s="2"/>
      <c r="L48" s="2"/>
      <c r="N48" s="12"/>
      <c r="P48" s="2"/>
      <c r="R48" s="2"/>
      <c r="T48" s="2"/>
      <c r="W48" s="11"/>
      <c r="X48" s="2"/>
      <c r="Z48" s="12"/>
      <c r="AA48" s="11"/>
      <c r="AB48" s="12"/>
      <c r="AE48" s="110"/>
      <c r="AG48" s="110"/>
      <c r="AH48" s="2"/>
      <c r="AK48" s="11"/>
      <c r="AM48" s="110"/>
      <c r="AN48" s="12"/>
      <c r="AO48" s="34"/>
      <c r="AP48" s="34"/>
    </row>
    <row r="49" spans="1:42" x14ac:dyDescent="0.2">
      <c r="A49" s="34"/>
      <c r="B49" s="11"/>
      <c r="D49" t="s">
        <v>221</v>
      </c>
      <c r="F49" s="12"/>
      <c r="G49" s="355">
        <f>H49*G28</f>
        <v>0.28892737500000004</v>
      </c>
      <c r="H49" s="5">
        <f>G32*G33*G34</f>
        <v>0.36712500000000003</v>
      </c>
      <c r="I49" s="4">
        <f>J49*I28</f>
        <v>29.098533500000002</v>
      </c>
      <c r="J49" s="5">
        <f>I32*I33*I34</f>
        <v>40.983850000000004</v>
      </c>
      <c r="K49" s="4">
        <f>L49*K28</f>
        <v>27.251549999999995</v>
      </c>
      <c r="L49" s="5">
        <f>K32*K33*K34</f>
        <v>39.494999999999997</v>
      </c>
      <c r="M49" s="4">
        <f>N49*M28</f>
        <v>27.251549999999995</v>
      </c>
      <c r="N49" s="33">
        <f>M32*M33*M34</f>
        <v>39.494999999999997</v>
      </c>
      <c r="O49" s="4">
        <f>P49*O28</f>
        <v>27.540000000000003</v>
      </c>
      <c r="P49" s="5">
        <f>O32*O33*O34</f>
        <v>40.5</v>
      </c>
      <c r="Q49" s="4">
        <f>R49*Q28</f>
        <v>26.850984999999998</v>
      </c>
      <c r="R49" s="5">
        <f>Q32*Q33*Q34</f>
        <v>38.358550000000001</v>
      </c>
      <c r="S49" s="4">
        <f>T49*S28</f>
        <v>26.850984999999998</v>
      </c>
      <c r="T49" s="5">
        <f>S32*S33*S34</f>
        <v>38.358550000000001</v>
      </c>
      <c r="U49" s="4">
        <f>V49*U28</f>
        <v>29.71294</v>
      </c>
      <c r="V49" s="4">
        <f>U32*U33*U34</f>
        <v>34.956400000000002</v>
      </c>
      <c r="W49" s="355">
        <f>X49*W28</f>
        <v>26.316875999999997</v>
      </c>
      <c r="X49" s="5">
        <f>W32*W33*W34</f>
        <v>38.1404</v>
      </c>
      <c r="Y49" s="4">
        <f>Z49*Y28</f>
        <v>26.316875999999997</v>
      </c>
      <c r="Z49" s="33">
        <f>Y32*Y33*Y34</f>
        <v>38.1404</v>
      </c>
      <c r="AA49" s="355">
        <f>AB49*AA28</f>
        <v>19.156104000000003</v>
      </c>
      <c r="AB49" s="33">
        <f>AA32*AA33*AA34</f>
        <v>28.591200000000001</v>
      </c>
      <c r="AC49" s="4">
        <f>AD49*AC28</f>
        <v>36.224999999999994</v>
      </c>
      <c r="AD49" s="4">
        <f>AC32*AC33*AC34</f>
        <v>51.75</v>
      </c>
      <c r="AE49" s="361">
        <f>AF49*AE28</f>
        <v>60.374999999999993</v>
      </c>
      <c r="AF49" s="4">
        <f>AE32*AE33*AE34</f>
        <v>86.25</v>
      </c>
      <c r="AG49" s="361">
        <f>AH49*AG28</f>
        <v>55.824999999999996</v>
      </c>
      <c r="AH49" s="5">
        <f>AG32*AG33*AG34</f>
        <v>79.75</v>
      </c>
      <c r="AI49" s="4">
        <f>AJ49*AI28</f>
        <v>106.57499999999999</v>
      </c>
      <c r="AJ49" s="4">
        <f>AI32*AI33*AI34</f>
        <v>152.25</v>
      </c>
      <c r="AK49" s="355">
        <f>AL49*AK28</f>
        <v>70.2</v>
      </c>
      <c r="AL49" s="4">
        <f>AK32*AK33*AK34</f>
        <v>78</v>
      </c>
      <c r="AM49" s="361">
        <f>AN49*AM28</f>
        <v>64.350000000000009</v>
      </c>
      <c r="AN49" s="33">
        <f>AM32*AM33*AM34</f>
        <v>71.5</v>
      </c>
      <c r="AO49" s="34"/>
      <c r="AP49" s="34"/>
    </row>
    <row r="50" spans="1:42" x14ac:dyDescent="0.2">
      <c r="A50" s="34"/>
      <c r="B50" s="11"/>
      <c r="D50" t="s">
        <v>222</v>
      </c>
      <c r="F50" s="12"/>
      <c r="G50" s="355">
        <f>H50*G28</f>
        <v>0.14446368750000002</v>
      </c>
      <c r="H50" s="5">
        <f>H49*G35</f>
        <v>0.18356250000000002</v>
      </c>
      <c r="I50" s="4">
        <f>J50*I28</f>
        <v>10.699530767950002</v>
      </c>
      <c r="J50" s="5">
        <f>J49*I35</f>
        <v>15.069761645000003</v>
      </c>
      <c r="K50" s="4">
        <f>L50*K28</f>
        <v>10.020394935000001</v>
      </c>
      <c r="L50" s="5">
        <f>L49*K35</f>
        <v>14.522311500000001</v>
      </c>
      <c r="M50" s="4">
        <f>N50*M28</f>
        <v>10.020394935000001</v>
      </c>
      <c r="N50" s="33">
        <f>N49*M35</f>
        <v>14.522311500000001</v>
      </c>
      <c r="O50" s="4">
        <f>P50*O28</f>
        <v>10.1898</v>
      </c>
      <c r="P50" s="5">
        <f>P49*O35</f>
        <v>14.984999999999999</v>
      </c>
      <c r="Q50" s="4">
        <f>R50*Q28</f>
        <v>9.8731071845000002</v>
      </c>
      <c r="R50" s="5">
        <f>R49*Q35</f>
        <v>14.104438835000002</v>
      </c>
      <c r="S50" s="4">
        <f>T50*S28</f>
        <v>9.8731071845000002</v>
      </c>
      <c r="T50" s="5">
        <f>T49*S35</f>
        <v>14.104438835000002</v>
      </c>
      <c r="U50" s="4">
        <f>V50*U28</f>
        <v>10.925448038000001</v>
      </c>
      <c r="V50" s="4">
        <f>V49*U35</f>
        <v>12.853468280000001</v>
      </c>
      <c r="W50" s="355">
        <f>X50*W28</f>
        <v>9.7372441199999997</v>
      </c>
      <c r="X50" s="5">
        <f>X49*W35</f>
        <v>14.111948</v>
      </c>
      <c r="Y50" s="4">
        <f>Z50*Y28</f>
        <v>9.7372441199999997</v>
      </c>
      <c r="Z50" s="33">
        <f>Z49*Y35</f>
        <v>14.111948</v>
      </c>
      <c r="AA50" s="355">
        <f>AB50*AA28</f>
        <v>7.0436994408000011</v>
      </c>
      <c r="AB50" s="33">
        <f>AB49*AA35</f>
        <v>10.512984240000002</v>
      </c>
      <c r="AC50" s="4">
        <f>AD50*AC28</f>
        <v>13.3199325</v>
      </c>
      <c r="AD50" s="4">
        <f>AD49*AC35</f>
        <v>19.028475</v>
      </c>
      <c r="AE50" s="361">
        <f>AF50*AE28</f>
        <v>22.199887499999999</v>
      </c>
      <c r="AF50" s="4">
        <f>AF49*AE35</f>
        <v>31.714125000000003</v>
      </c>
      <c r="AG50" s="361">
        <f>AH50*AG28</f>
        <v>20.5268525</v>
      </c>
      <c r="AH50" s="5">
        <f>AH49*AG35</f>
        <v>29.324075000000001</v>
      </c>
      <c r="AI50" s="4">
        <f>AJ50*AI28</f>
        <v>39.187627499999998</v>
      </c>
      <c r="AJ50" s="4">
        <f>AJ49*AI35</f>
        <v>55.982325000000003</v>
      </c>
      <c r="AK50" s="355">
        <f>AL50*AK28</f>
        <v>25.812540000000002</v>
      </c>
      <c r="AL50" s="4">
        <f>AL49*AK35</f>
        <v>28.680600000000002</v>
      </c>
      <c r="AM50" s="361">
        <f>AN50*AM28</f>
        <v>23.661495000000002</v>
      </c>
      <c r="AN50" s="33">
        <f>AN49*AM35</f>
        <v>26.290550000000003</v>
      </c>
      <c r="AO50" s="34"/>
      <c r="AP50" s="34"/>
    </row>
    <row r="51" spans="1:42" x14ac:dyDescent="0.2">
      <c r="A51" s="34"/>
      <c r="B51" s="11"/>
      <c r="D51" t="s">
        <v>223</v>
      </c>
      <c r="F51" s="12"/>
      <c r="G51" s="355">
        <f t="shared" ref="G51:AB51" si="2">G49+G50</f>
        <v>0.43339106250000003</v>
      </c>
      <c r="H51" s="5">
        <f t="shared" si="2"/>
        <v>0.5506875</v>
      </c>
      <c r="I51" s="4">
        <f t="shared" si="2"/>
        <v>39.798064267950004</v>
      </c>
      <c r="J51" s="5">
        <f t="shared" si="2"/>
        <v>56.053611645000004</v>
      </c>
      <c r="K51" s="4">
        <f t="shared" si="2"/>
        <v>37.271944934999993</v>
      </c>
      <c r="L51" s="5">
        <f t="shared" si="2"/>
        <v>54.017311499999998</v>
      </c>
      <c r="M51" s="4">
        <f t="shared" si="2"/>
        <v>37.271944934999993</v>
      </c>
      <c r="N51" s="33">
        <f t="shared" si="2"/>
        <v>54.017311499999998</v>
      </c>
      <c r="O51" s="4">
        <f t="shared" si="2"/>
        <v>37.729800000000004</v>
      </c>
      <c r="P51" s="5">
        <f t="shared" si="2"/>
        <v>55.484999999999999</v>
      </c>
      <c r="Q51" s="4">
        <f t="shared" si="2"/>
        <v>36.724092184499995</v>
      </c>
      <c r="R51" s="5">
        <f t="shared" si="2"/>
        <v>52.462988835000004</v>
      </c>
      <c r="S51" s="4">
        <f t="shared" si="2"/>
        <v>36.724092184499995</v>
      </c>
      <c r="T51" s="5">
        <f t="shared" si="2"/>
        <v>52.462988835000004</v>
      </c>
      <c r="U51" s="4">
        <f t="shared" si="2"/>
        <v>40.638388038000002</v>
      </c>
      <c r="V51" s="4">
        <f t="shared" si="2"/>
        <v>47.809868280000003</v>
      </c>
      <c r="W51" s="355">
        <f t="shared" si="2"/>
        <v>36.054120119999993</v>
      </c>
      <c r="X51" s="5">
        <f t="shared" si="2"/>
        <v>52.252347999999998</v>
      </c>
      <c r="Y51" s="4">
        <f t="shared" si="2"/>
        <v>36.054120119999993</v>
      </c>
      <c r="Z51" s="33">
        <f t="shared" si="2"/>
        <v>52.252347999999998</v>
      </c>
      <c r="AA51" s="355">
        <f t="shared" si="2"/>
        <v>26.199803440800004</v>
      </c>
      <c r="AB51" s="33">
        <f t="shared" si="2"/>
        <v>39.104184240000002</v>
      </c>
      <c r="AC51" s="4">
        <f t="shared" ref="AC51:AJ51" si="3">AC49+AC50</f>
        <v>49.544932499999994</v>
      </c>
      <c r="AD51" s="4">
        <f t="shared" si="3"/>
        <v>70.778475</v>
      </c>
      <c r="AE51" s="361">
        <f t="shared" si="3"/>
        <v>82.574887499999988</v>
      </c>
      <c r="AF51" s="4">
        <f t="shared" si="3"/>
        <v>117.964125</v>
      </c>
      <c r="AG51" s="361">
        <f t="shared" si="3"/>
        <v>76.351852499999993</v>
      </c>
      <c r="AH51" s="5">
        <f t="shared" si="3"/>
        <v>109.07407499999999</v>
      </c>
      <c r="AI51" s="4">
        <f t="shared" si="3"/>
        <v>145.76262749999998</v>
      </c>
      <c r="AJ51" s="4">
        <f t="shared" si="3"/>
        <v>208.232325</v>
      </c>
      <c r="AK51" s="355">
        <f>AK49+AK50</f>
        <v>96.012540000000001</v>
      </c>
      <c r="AL51" s="4">
        <f>AL49+AL50</f>
        <v>106.6806</v>
      </c>
      <c r="AM51" s="361">
        <f>AM49+AM50</f>
        <v>88.011495000000011</v>
      </c>
      <c r="AN51" s="33">
        <f>AN49+AN50</f>
        <v>97.790549999999996</v>
      </c>
      <c r="AO51" s="34"/>
      <c r="AP51" s="34"/>
    </row>
    <row r="52" spans="1:42" x14ac:dyDescent="0.2">
      <c r="A52" s="34"/>
      <c r="B52" s="39" t="s">
        <v>224</v>
      </c>
      <c r="C52" s="8" t="s">
        <v>225</v>
      </c>
      <c r="D52" s="8"/>
      <c r="E52" s="8"/>
      <c r="F52" s="370"/>
      <c r="G52" s="356">
        <f t="shared" ref="G52:AB52" si="4">G47+G51</f>
        <v>0.53339106250000001</v>
      </c>
      <c r="H52" s="7">
        <f t="shared" si="4"/>
        <v>0.67775230304955525</v>
      </c>
      <c r="I52" s="6">
        <f t="shared" si="4"/>
        <v>66.048064267949997</v>
      </c>
      <c r="J52" s="7">
        <f t="shared" si="4"/>
        <v>93.025442630915506</v>
      </c>
      <c r="K52" s="6">
        <f t="shared" si="4"/>
        <v>54.210624180283013</v>
      </c>
      <c r="L52" s="7">
        <f t="shared" si="4"/>
        <v>78.566122000410175</v>
      </c>
      <c r="M52" s="6">
        <f t="shared" si="4"/>
        <v>50.822888331226409</v>
      </c>
      <c r="N52" s="40">
        <f t="shared" si="4"/>
        <v>73.656359900328141</v>
      </c>
      <c r="O52" s="6">
        <f t="shared" si="4"/>
        <v>54.87265714285715</v>
      </c>
      <c r="P52" s="7">
        <f t="shared" si="4"/>
        <v>80.695084033613441</v>
      </c>
      <c r="Q52" s="6">
        <f t="shared" si="4"/>
        <v>51.124092184499993</v>
      </c>
      <c r="R52" s="7">
        <f t="shared" si="4"/>
        <v>73.034417406428574</v>
      </c>
      <c r="S52" s="6">
        <f t="shared" si="4"/>
        <v>52.924092184499997</v>
      </c>
      <c r="T52" s="7">
        <f t="shared" si="4"/>
        <v>75.605845977857143</v>
      </c>
      <c r="U52" s="6">
        <f t="shared" si="4"/>
        <v>58.513388038000002</v>
      </c>
      <c r="V52" s="6">
        <f t="shared" si="4"/>
        <v>68.839280044705887</v>
      </c>
      <c r="W52" s="356">
        <f t="shared" si="4"/>
        <v>53.254120119999996</v>
      </c>
      <c r="X52" s="7">
        <f t="shared" si="4"/>
        <v>77.17988423188406</v>
      </c>
      <c r="Y52" s="6">
        <f t="shared" si="4"/>
        <v>64.054120119999993</v>
      </c>
      <c r="Z52" s="40">
        <f t="shared" si="4"/>
        <v>92.832058144927544</v>
      </c>
      <c r="AA52" s="356">
        <f t="shared" si="4"/>
        <v>44.199803440800011</v>
      </c>
      <c r="AB52" s="40">
        <f t="shared" si="4"/>
        <v>65.969855881791048</v>
      </c>
      <c r="AC52" s="6">
        <f t="shared" ref="AC52:AJ52" si="5">AC47+AC51</f>
        <v>60.74493249999999</v>
      </c>
      <c r="AD52" s="6">
        <f t="shared" si="5"/>
        <v>86.778475</v>
      </c>
      <c r="AE52" s="362">
        <f t="shared" si="5"/>
        <v>103.37488749999999</v>
      </c>
      <c r="AF52" s="6">
        <f t="shared" si="5"/>
        <v>147.67841071428572</v>
      </c>
      <c r="AG52" s="362">
        <f t="shared" si="5"/>
        <v>89.15185249999999</v>
      </c>
      <c r="AH52" s="7">
        <f t="shared" si="5"/>
        <v>127.35978928571427</v>
      </c>
      <c r="AI52" s="6">
        <f t="shared" si="5"/>
        <v>168.16262749999999</v>
      </c>
      <c r="AJ52" s="6">
        <f t="shared" si="5"/>
        <v>240.232325</v>
      </c>
      <c r="AK52" s="356">
        <f>AK47+AK51</f>
        <v>99.441111428571432</v>
      </c>
      <c r="AL52" s="6">
        <f>AL47+AL51</f>
        <v>110.49012380952381</v>
      </c>
      <c r="AM52" s="362">
        <f>AM47+AM51</f>
        <v>91.440066428571441</v>
      </c>
      <c r="AN52" s="40">
        <f>AN47+AN51</f>
        <v>101.60007380952381</v>
      </c>
      <c r="AO52" s="34"/>
      <c r="AP52" s="34"/>
    </row>
    <row r="53" spans="1:42" ht="16" thickBot="1" x14ac:dyDescent="0.25">
      <c r="A53" s="34"/>
      <c r="B53" s="11"/>
      <c r="F53" s="12"/>
      <c r="G53" s="11"/>
      <c r="H53" s="2"/>
      <c r="J53" s="2"/>
      <c r="L53" s="2"/>
      <c r="N53" s="12"/>
      <c r="P53" s="2"/>
      <c r="R53" s="2"/>
      <c r="T53" s="2"/>
      <c r="W53" s="11"/>
      <c r="X53" s="2"/>
      <c r="Z53" s="12"/>
      <c r="AA53" s="11"/>
      <c r="AB53" s="12"/>
      <c r="AE53" s="110"/>
      <c r="AG53" s="110"/>
      <c r="AH53" s="2"/>
      <c r="AK53" s="11"/>
      <c r="AM53" s="110"/>
      <c r="AN53" s="12"/>
      <c r="AO53" s="34"/>
      <c r="AP53" s="34"/>
    </row>
    <row r="54" spans="1:42" ht="16" thickBot="1" x14ac:dyDescent="0.25">
      <c r="A54" s="34"/>
      <c r="B54" s="831" t="s">
        <v>226</v>
      </c>
      <c r="C54" s="832"/>
      <c r="D54" s="832"/>
      <c r="E54" s="833"/>
      <c r="F54" s="12"/>
      <c r="G54" s="11"/>
      <c r="H54" s="2"/>
      <c r="J54" s="2"/>
      <c r="L54" s="2"/>
      <c r="N54" s="12"/>
      <c r="P54" s="2"/>
      <c r="R54" s="2"/>
      <c r="T54" s="2"/>
      <c r="W54" s="11"/>
      <c r="X54" s="2"/>
      <c r="Z54" s="12"/>
      <c r="AA54" s="11"/>
      <c r="AB54" s="12"/>
      <c r="AE54" s="110"/>
      <c r="AG54" s="110"/>
      <c r="AH54" s="2"/>
      <c r="AK54" s="11"/>
      <c r="AM54" s="110"/>
      <c r="AN54" s="12"/>
      <c r="AO54" s="34"/>
      <c r="AP54" s="34"/>
    </row>
    <row r="55" spans="1:42" x14ac:dyDescent="0.2">
      <c r="A55" s="34"/>
      <c r="B55" s="45" t="s">
        <v>227</v>
      </c>
      <c r="C55" s="46" t="s">
        <v>228</v>
      </c>
      <c r="D55" s="46"/>
      <c r="E55" s="46"/>
      <c r="F55" s="47"/>
      <c r="G55" s="45">
        <f>G36+G36*G37</f>
        <v>54</v>
      </c>
      <c r="H55" s="310">
        <f>G55/G28</f>
        <v>68.614993646759842</v>
      </c>
      <c r="I55" s="46">
        <f>I36+I36*I37</f>
        <v>36.450000000000003</v>
      </c>
      <c r="J55" s="310">
        <f>I55/I28</f>
        <v>51.338028169014088</v>
      </c>
      <c r="K55" s="46">
        <f>K36+K36*K37</f>
        <v>36.450000000000003</v>
      </c>
      <c r="L55" s="310">
        <f>K55/K28</f>
        <v>52.826086956521749</v>
      </c>
      <c r="M55" s="46">
        <f>M36+M36*M37</f>
        <v>36.450000000000003</v>
      </c>
      <c r="N55" s="311">
        <f>M55/M28</f>
        <v>52.826086956521749</v>
      </c>
      <c r="O55" s="46">
        <f>(O36+O36*O37)*O38</f>
        <v>135</v>
      </c>
      <c r="P55" s="310">
        <f>O55/O28</f>
        <v>198.52941176470586</v>
      </c>
      <c r="Q55" s="46">
        <f>Q36+Q36*Q37</f>
        <v>36.450000000000003</v>
      </c>
      <c r="R55" s="310">
        <f>Q55/Q28</f>
        <v>52.071428571428577</v>
      </c>
      <c r="S55" s="46">
        <f>S36+S36*S37</f>
        <v>36.450000000000003</v>
      </c>
      <c r="T55" s="310">
        <f>S55/S28</f>
        <v>52.071428571428577</v>
      </c>
      <c r="U55" s="46">
        <f>U36+U36*U37</f>
        <v>36.450000000000003</v>
      </c>
      <c r="V55" s="357">
        <f>U55/U28</f>
        <v>42.882352941176478</v>
      </c>
      <c r="W55" s="45">
        <f>W36+W36*W37</f>
        <v>36.450000000000003</v>
      </c>
      <c r="X55" s="310">
        <f>W55/W28</f>
        <v>52.826086956521749</v>
      </c>
      <c r="Y55" s="46">
        <f>Y36+Y36*Y37</f>
        <v>36.450000000000003</v>
      </c>
      <c r="Z55" s="311">
        <f>Y55/Y28</f>
        <v>52.826086956521749</v>
      </c>
      <c r="AA55" s="45">
        <f>AA36+AA36*AA37</f>
        <v>36.450000000000003</v>
      </c>
      <c r="AB55" s="311">
        <f>AA55/AA28</f>
        <v>54.402985074626869</v>
      </c>
      <c r="AC55" s="46">
        <f>AC36+AC36*AC37</f>
        <v>0</v>
      </c>
      <c r="AD55" s="46">
        <f>AC55/AC28</f>
        <v>0</v>
      </c>
      <c r="AE55" s="363">
        <f>AE36+AE36*AE37</f>
        <v>0</v>
      </c>
      <c r="AF55" s="46">
        <f>AE55/AE28</f>
        <v>0</v>
      </c>
      <c r="AG55" s="363">
        <f>AG36+AG36*AG37</f>
        <v>0</v>
      </c>
      <c r="AH55" s="365">
        <f>AG55/AG28</f>
        <v>0</v>
      </c>
      <c r="AI55" s="46">
        <f>AI36+AI36*AI37</f>
        <v>0</v>
      </c>
      <c r="AJ55" s="46">
        <f>AI55/AI28</f>
        <v>0</v>
      </c>
      <c r="AK55" s="45">
        <f>AK36+AK36*AK37</f>
        <v>36.450000000000003</v>
      </c>
      <c r="AL55" s="357">
        <f>AK55/AK28</f>
        <v>40.5</v>
      </c>
      <c r="AM55" s="363">
        <f>AM36+AM36*AM37</f>
        <v>36.450000000000003</v>
      </c>
      <c r="AN55" s="311">
        <f>AM55/AM28</f>
        <v>40.5</v>
      </c>
      <c r="AO55" s="34"/>
      <c r="AP55" s="34"/>
    </row>
    <row r="56" spans="1:42" ht="16" thickBot="1" x14ac:dyDescent="0.25">
      <c r="A56" s="34"/>
      <c r="B56" s="11"/>
      <c r="F56" s="12"/>
      <c r="G56" s="11"/>
      <c r="H56" s="2"/>
      <c r="J56" s="2"/>
      <c r="L56" s="2"/>
      <c r="N56" s="12"/>
      <c r="P56" s="2"/>
      <c r="R56" s="2"/>
      <c r="T56" s="2"/>
      <c r="W56" s="11"/>
      <c r="X56" s="2"/>
      <c r="Z56" s="12"/>
      <c r="AA56" s="11"/>
      <c r="AB56" s="12"/>
      <c r="AE56" s="110"/>
      <c r="AG56" s="110"/>
      <c r="AH56" s="2"/>
      <c r="AK56" s="11"/>
      <c r="AM56" s="110"/>
      <c r="AN56" s="12"/>
      <c r="AO56" s="34"/>
      <c r="AP56" s="34"/>
    </row>
    <row r="57" spans="1:42" s="15" customFormat="1" ht="16" thickBot="1" x14ac:dyDescent="0.25">
      <c r="A57" s="213"/>
      <c r="B57" s="831" t="s">
        <v>229</v>
      </c>
      <c r="C57" s="832"/>
      <c r="D57" s="832"/>
      <c r="E57" s="833"/>
      <c r="F57" s="280"/>
      <c r="G57" s="229" t="s">
        <v>172</v>
      </c>
      <c r="H57" s="373" t="s">
        <v>178</v>
      </c>
      <c r="I57" s="15" t="s">
        <v>172</v>
      </c>
      <c r="J57" s="373" t="s">
        <v>178</v>
      </c>
      <c r="K57" s="15" t="s">
        <v>172</v>
      </c>
      <c r="L57" s="373" t="s">
        <v>178</v>
      </c>
      <c r="M57" s="15" t="s">
        <v>172</v>
      </c>
      <c r="N57" s="280" t="s">
        <v>178</v>
      </c>
      <c r="O57" s="15" t="s">
        <v>172</v>
      </c>
      <c r="P57" s="373" t="s">
        <v>178</v>
      </c>
      <c r="Q57" s="15" t="s">
        <v>172</v>
      </c>
      <c r="R57" s="373" t="s">
        <v>178</v>
      </c>
      <c r="S57" s="15" t="s">
        <v>172</v>
      </c>
      <c r="T57" s="373" t="s">
        <v>178</v>
      </c>
      <c r="U57" s="15" t="s">
        <v>172</v>
      </c>
      <c r="V57" s="15" t="s">
        <v>178</v>
      </c>
      <c r="W57" s="229" t="s">
        <v>172</v>
      </c>
      <c r="X57" s="373" t="s">
        <v>178</v>
      </c>
      <c r="Y57" s="15" t="s">
        <v>172</v>
      </c>
      <c r="Z57" s="280" t="s">
        <v>178</v>
      </c>
      <c r="AA57" s="229" t="s">
        <v>172</v>
      </c>
      <c r="AB57" s="280" t="s">
        <v>178</v>
      </c>
      <c r="AC57" s="15" t="s">
        <v>172</v>
      </c>
      <c r="AD57" s="373" t="s">
        <v>178</v>
      </c>
      <c r="AE57" s="15" t="s">
        <v>172</v>
      </c>
      <c r="AF57" s="373" t="s">
        <v>178</v>
      </c>
      <c r="AG57" s="15" t="s">
        <v>172</v>
      </c>
      <c r="AH57" s="373" t="s">
        <v>178</v>
      </c>
      <c r="AI57" s="15" t="s">
        <v>172</v>
      </c>
      <c r="AJ57" s="15" t="s">
        <v>178</v>
      </c>
      <c r="AK57" s="229" t="s">
        <v>172</v>
      </c>
      <c r="AL57" s="373" t="s">
        <v>178</v>
      </c>
      <c r="AM57" s="15" t="s">
        <v>172</v>
      </c>
      <c r="AN57" s="280" t="s">
        <v>178</v>
      </c>
      <c r="AO57" s="213"/>
      <c r="AP57" s="213"/>
    </row>
    <row r="58" spans="1:42" s="35" customFormat="1" ht="16" thickBot="1" x14ac:dyDescent="0.25">
      <c r="A58" s="52"/>
      <c r="B58" s="48" t="s">
        <v>230</v>
      </c>
      <c r="C58" s="49" t="s">
        <v>231</v>
      </c>
      <c r="D58" s="49"/>
      <c r="E58" s="49"/>
      <c r="F58" s="51"/>
      <c r="G58" s="48">
        <f t="shared" ref="G58:Z58" si="6">G44+G52+G55</f>
        <v>54.773391062499996</v>
      </c>
      <c r="H58" s="50">
        <f t="shared" si="6"/>
        <v>69.597701477128325</v>
      </c>
      <c r="I58" s="49">
        <f t="shared" si="6"/>
        <v>181.99806426794999</v>
      </c>
      <c r="J58" s="50">
        <f t="shared" si="6"/>
        <v>256.3353017858451</v>
      </c>
      <c r="K58" s="49">
        <f t="shared" si="6"/>
        <v>139.75435059537733</v>
      </c>
      <c r="L58" s="50">
        <f t="shared" si="6"/>
        <v>202.54253709474983</v>
      </c>
      <c r="M58" s="49">
        <f t="shared" si="6"/>
        <v>126.54786946330189</v>
      </c>
      <c r="N58" s="51">
        <f t="shared" si="6"/>
        <v>183.40270936710419</v>
      </c>
      <c r="O58" s="49">
        <f t="shared" si="6"/>
        <v>243.87265714285715</v>
      </c>
      <c r="P58" s="50">
        <f t="shared" si="6"/>
        <v>358.63626050420163</v>
      </c>
      <c r="Q58" s="49">
        <f t="shared" si="6"/>
        <v>128.61409218450001</v>
      </c>
      <c r="R58" s="50">
        <f t="shared" si="6"/>
        <v>183.73441740642861</v>
      </c>
      <c r="S58" s="49">
        <f t="shared" si="6"/>
        <v>135.54409218450002</v>
      </c>
      <c r="T58" s="50">
        <f t="shared" si="6"/>
        <v>193.63441740642858</v>
      </c>
      <c r="U58" s="49">
        <f t="shared" si="6"/>
        <v>151.06338803800003</v>
      </c>
      <c r="V58" s="49">
        <f t="shared" si="6"/>
        <v>177.72163298588237</v>
      </c>
      <c r="W58" s="48">
        <f t="shared" si="6"/>
        <v>138.72412012000001</v>
      </c>
      <c r="X58" s="50">
        <f t="shared" si="6"/>
        <v>201.04944944927536</v>
      </c>
      <c r="Y58" s="49">
        <f t="shared" si="6"/>
        <v>180.30412011999999</v>
      </c>
      <c r="Z58" s="51">
        <f t="shared" si="6"/>
        <v>261.31031901449279</v>
      </c>
      <c r="AA58" s="48">
        <f t="shared" ref="AA58:AJ58" si="7">AA44+AA52+AA55</f>
        <v>131.9498034408</v>
      </c>
      <c r="AB58" s="51">
        <f t="shared" si="7"/>
        <v>196.94000513552243</v>
      </c>
      <c r="AC58" s="49">
        <f t="shared" si="7"/>
        <v>92.664932499999992</v>
      </c>
      <c r="AD58" s="51">
        <f t="shared" si="7"/>
        <v>132.37847500000001</v>
      </c>
      <c r="AE58" s="49">
        <f t="shared" si="7"/>
        <v>162.65488749999997</v>
      </c>
      <c r="AF58" s="51">
        <f t="shared" si="7"/>
        <v>232.364125</v>
      </c>
      <c r="AG58" s="49">
        <f t="shared" si="7"/>
        <v>125.63185249999999</v>
      </c>
      <c r="AH58" s="51">
        <f t="shared" si="7"/>
        <v>179.474075</v>
      </c>
      <c r="AI58" s="49">
        <f t="shared" si="7"/>
        <v>232.00262749999999</v>
      </c>
      <c r="AJ58" s="49">
        <f t="shared" si="7"/>
        <v>331.43232499999999</v>
      </c>
      <c r="AK58" s="48">
        <f>AK44+AK52+AK55</f>
        <v>146.69111142857145</v>
      </c>
      <c r="AL58" s="51">
        <f>AL44+AL52+AL55</f>
        <v>162.99012380952382</v>
      </c>
      <c r="AM58" s="49">
        <f>AM44+AM52+AM55</f>
        <v>138.69006642857144</v>
      </c>
      <c r="AN58" s="51">
        <f>AN44+AN52+AN55</f>
        <v>154.10007380952379</v>
      </c>
      <c r="AO58" s="34"/>
      <c r="AP58" s="34"/>
    </row>
    <row r="59" spans="1:42" x14ac:dyDescent="0.2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</row>
    <row r="60" spans="1:42" x14ac:dyDescent="0.2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</row>
    <row r="61" spans="1:42" x14ac:dyDescent="0.2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</row>
  </sheetData>
  <mergeCells count="95">
    <mergeCell ref="G12:N13"/>
    <mergeCell ref="G10:AN10"/>
    <mergeCell ref="AO34:AR34"/>
    <mergeCell ref="AO35:AR35"/>
    <mergeCell ref="AO36:AR36"/>
    <mergeCell ref="AO24:AR24"/>
    <mergeCell ref="AO25:AR25"/>
    <mergeCell ref="AO26:AR26"/>
    <mergeCell ref="AO27:AR27"/>
    <mergeCell ref="AO28:AR28"/>
    <mergeCell ref="I14:J14"/>
    <mergeCell ref="K14:L14"/>
    <mergeCell ref="M14:N14"/>
    <mergeCell ref="O14:P14"/>
    <mergeCell ref="M23:N23"/>
    <mergeCell ref="Q23:R23"/>
    <mergeCell ref="AO37:AR37"/>
    <mergeCell ref="AO29:AR29"/>
    <mergeCell ref="AO30:AR30"/>
    <mergeCell ref="AO31:AR31"/>
    <mergeCell ref="AO32:AR32"/>
    <mergeCell ref="AO33:AR33"/>
    <mergeCell ref="M3:V8"/>
    <mergeCell ref="AC21:AJ22"/>
    <mergeCell ref="AA21:AB22"/>
    <mergeCell ref="G18:AN19"/>
    <mergeCell ref="AI23:AJ23"/>
    <mergeCell ref="AK23:AL23"/>
    <mergeCell ref="S23:T23"/>
    <mergeCell ref="U23:V23"/>
    <mergeCell ref="W23:X23"/>
    <mergeCell ref="Y23:Z23"/>
    <mergeCell ref="AA23:AB23"/>
    <mergeCell ref="AC23:AD23"/>
    <mergeCell ref="AG23:AH23"/>
    <mergeCell ref="AE23:AF23"/>
    <mergeCell ref="AM23:AN23"/>
    <mergeCell ref="G14:H14"/>
    <mergeCell ref="AK14:AL14"/>
    <mergeCell ref="AM14:AN14"/>
    <mergeCell ref="W12:Z13"/>
    <mergeCell ref="AK12:AN13"/>
    <mergeCell ref="O12:V13"/>
    <mergeCell ref="AA12:AB13"/>
    <mergeCell ref="AC12:AJ13"/>
    <mergeCell ref="AA14:AB14"/>
    <mergeCell ref="Q14:R14"/>
    <mergeCell ref="S14:T14"/>
    <mergeCell ref="U14:V14"/>
    <mergeCell ref="AG14:AH14"/>
    <mergeCell ref="AI14:AJ14"/>
    <mergeCell ref="C37:F37"/>
    <mergeCell ref="C26:F26"/>
    <mergeCell ref="C27:F27"/>
    <mergeCell ref="C36:F36"/>
    <mergeCell ref="C34:F34"/>
    <mergeCell ref="C35:F35"/>
    <mergeCell ref="C28:F28"/>
    <mergeCell ref="C29:F29"/>
    <mergeCell ref="C30:F30"/>
    <mergeCell ref="C31:F31"/>
    <mergeCell ref="C32:F32"/>
    <mergeCell ref="C33:F33"/>
    <mergeCell ref="B39:E39"/>
    <mergeCell ref="B46:E46"/>
    <mergeCell ref="B57:E57"/>
    <mergeCell ref="B54:E54"/>
    <mergeCell ref="G1:AN1"/>
    <mergeCell ref="C24:F24"/>
    <mergeCell ref="G5:I5"/>
    <mergeCell ref="G7:I7"/>
    <mergeCell ref="G8:I8"/>
    <mergeCell ref="G4:I4"/>
    <mergeCell ref="G21:N22"/>
    <mergeCell ref="O21:V22"/>
    <mergeCell ref="G23:H23"/>
    <mergeCell ref="I23:J23"/>
    <mergeCell ref="K23:L23"/>
    <mergeCell ref="O23:P23"/>
    <mergeCell ref="G3:K3"/>
    <mergeCell ref="G6:I6"/>
    <mergeCell ref="W21:Z22"/>
    <mergeCell ref="AK21:AN22"/>
    <mergeCell ref="C25:F25"/>
    <mergeCell ref="C13:E13"/>
    <mergeCell ref="C9:E9"/>
    <mergeCell ref="C10:E10"/>
    <mergeCell ref="C17:E17"/>
    <mergeCell ref="C15:E15"/>
    <mergeCell ref="C16:E16"/>
    <mergeCell ref="C14:E14"/>
    <mergeCell ref="AC14:AD14"/>
    <mergeCell ref="AE14:AF14"/>
    <mergeCell ref="W14:X14"/>
    <mergeCell ref="Y14:Z14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6A44C-F665-473B-ABFF-1B4C7A00B8FC}">
  <sheetPr>
    <tabColor rgb="FFFFFF00"/>
  </sheetPr>
  <dimension ref="A1:BY78"/>
  <sheetViews>
    <sheetView topLeftCell="I7" zoomScaleNormal="100" workbookViewId="0">
      <selection activeCell="B2" sqref="B2:F8"/>
    </sheetView>
  </sheetViews>
  <sheetFormatPr baseColWidth="10" defaultColWidth="8.83203125" defaultRowHeight="15" x14ac:dyDescent="0.2"/>
  <cols>
    <col min="1" max="1" width="17.33203125" customWidth="1"/>
    <col min="2" max="2" width="39.33203125" customWidth="1"/>
    <col min="3" max="3" width="13.1640625" bestFit="1" customWidth="1"/>
    <col min="4" max="4" width="10" bestFit="1" customWidth="1"/>
    <col min="5" max="5" width="39.6640625" bestFit="1" customWidth="1"/>
    <col min="6" max="6" width="23.1640625" bestFit="1" customWidth="1"/>
    <col min="7" max="7" width="10.33203125" bestFit="1" customWidth="1"/>
    <col min="8" max="8" width="4.5" bestFit="1" customWidth="1"/>
    <col min="9" max="9" width="23.1640625" bestFit="1" customWidth="1"/>
    <col min="10" max="10" width="19.6640625" customWidth="1"/>
    <col min="11" max="11" width="29.33203125" bestFit="1" customWidth="1"/>
    <col min="12" max="12" width="117.5" bestFit="1" customWidth="1"/>
    <col min="13" max="14" width="9.1640625" customWidth="1"/>
    <col min="15" max="15" width="15.1640625" customWidth="1"/>
    <col min="16" max="16" width="10.5" customWidth="1"/>
    <col min="17" max="17" width="32.5" customWidth="1"/>
    <col min="18" max="18" width="27.1640625" customWidth="1"/>
    <col min="19" max="19" width="14" customWidth="1"/>
    <col min="20" max="20" width="12.5" customWidth="1"/>
    <col min="21" max="21" width="15.1640625" customWidth="1"/>
    <col min="22" max="25" width="9.1640625" customWidth="1"/>
    <col min="26" max="26" width="15.6640625" customWidth="1"/>
    <col min="27" max="31" width="9.1640625" customWidth="1"/>
    <col min="32" max="60" width="8.83203125" customWidth="1"/>
    <col min="62" max="62" width="15.5" bestFit="1" customWidth="1"/>
    <col min="63" max="63" width="4.33203125" bestFit="1" customWidth="1"/>
    <col min="64" max="64" width="21.6640625" bestFit="1" customWidth="1"/>
    <col min="65" max="65" width="12.6640625" bestFit="1" customWidth="1"/>
    <col min="66" max="66" width="11" bestFit="1" customWidth="1"/>
    <col min="68" max="68" width="15.5" bestFit="1" customWidth="1"/>
    <col min="73" max="73" width="15.5" bestFit="1" customWidth="1"/>
  </cols>
  <sheetData>
    <row r="1" spans="1:77" ht="16" thickBot="1" x14ac:dyDescent="0.25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</row>
    <row r="2" spans="1:77" ht="32" thickBot="1" x14ac:dyDescent="0.4">
      <c r="A2" s="58"/>
      <c r="B2" s="922" t="s">
        <v>232</v>
      </c>
      <c r="C2" s="923"/>
      <c r="D2" s="923"/>
      <c r="E2" s="923"/>
      <c r="F2" s="924"/>
      <c r="G2" s="58"/>
      <c r="H2" s="58"/>
      <c r="I2" s="913" t="s">
        <v>661</v>
      </c>
      <c r="J2" s="914"/>
      <c r="K2" s="914"/>
      <c r="L2" s="915"/>
      <c r="M2" s="58"/>
    </row>
    <row r="3" spans="1:77" ht="31" x14ac:dyDescent="0.2">
      <c r="A3" s="58"/>
      <c r="B3" s="235" t="s">
        <v>107</v>
      </c>
      <c r="C3" s="925" t="str">
        <f>Input!C14</f>
        <v>Feller-buncher (rubber-tired)</v>
      </c>
      <c r="D3" s="926"/>
      <c r="E3" s="927"/>
      <c r="F3" s="249" t="s">
        <v>233</v>
      </c>
      <c r="G3" s="58"/>
      <c r="H3" s="58"/>
      <c r="I3" s="916"/>
      <c r="J3" s="917"/>
      <c r="K3" s="917"/>
      <c r="L3" s="918"/>
      <c r="M3" s="58"/>
    </row>
    <row r="4" spans="1:77" ht="24" x14ac:dyDescent="0.2">
      <c r="A4" s="58"/>
      <c r="B4" s="928" t="s">
        <v>237</v>
      </c>
      <c r="C4" s="907">
        <f>BM18</f>
        <v>29.030337860589242</v>
      </c>
      <c r="D4" s="908"/>
      <c r="E4" s="930"/>
      <c r="F4" s="245" t="s">
        <v>238</v>
      </c>
      <c r="G4" s="58"/>
      <c r="H4" s="58"/>
      <c r="I4" s="916"/>
      <c r="J4" s="917"/>
      <c r="K4" s="917"/>
      <c r="L4" s="918"/>
      <c r="M4" s="58"/>
    </row>
    <row r="5" spans="1:77" ht="24" x14ac:dyDescent="0.2">
      <c r="A5" s="58"/>
      <c r="B5" s="929"/>
      <c r="C5" s="931">
        <f>C4*'Tree volume estimation'!$E$15/100</f>
        <v>12.237646422870707</v>
      </c>
      <c r="D5" s="932"/>
      <c r="E5" s="933"/>
      <c r="F5" s="246" t="s">
        <v>246</v>
      </c>
      <c r="G5" s="58"/>
      <c r="H5" s="58"/>
      <c r="I5" s="916"/>
      <c r="J5" s="917"/>
      <c r="K5" s="917"/>
      <c r="L5" s="918"/>
      <c r="M5" s="58"/>
    </row>
    <row r="6" spans="1:77" ht="24" x14ac:dyDescent="0.2">
      <c r="A6" s="58"/>
      <c r="B6" s="928" t="s">
        <v>247</v>
      </c>
      <c r="C6" s="907">
        <f>IF(C3="Chainsaw",'Machine Rates'!H17,IF(C3="Harvester", 'Machine Rates'!J17,IF(C3="Feller-Buncher (rubber-tired)", 'Machine Rates'!N17,'Machine Rates'!L17)))/C5</f>
        <v>14.986763224695421</v>
      </c>
      <c r="D6" s="908"/>
      <c r="E6" s="908"/>
      <c r="F6" s="245" t="s">
        <v>158</v>
      </c>
      <c r="G6" s="58"/>
      <c r="H6" s="58"/>
      <c r="I6" s="916"/>
      <c r="J6" s="917"/>
      <c r="K6" s="917"/>
      <c r="L6" s="918"/>
      <c r="M6" s="58"/>
    </row>
    <row r="7" spans="1:77" ht="24" x14ac:dyDescent="0.2">
      <c r="A7" s="58"/>
      <c r="B7" s="934"/>
      <c r="C7" s="909">
        <f>IF(C3="Chainsaw",'Machine Rates'!H17,IF(C3="Harvester", 'Machine Rates'!J17,IF(C3="Feller-Buncher (rubber-tired)", 'Machine Rates'!N17,'Machine Rates'!L17)))/Felling!C4</f>
        <v>6.3176222835520797</v>
      </c>
      <c r="D7" s="910"/>
      <c r="E7" s="910"/>
      <c r="F7" s="247" t="s">
        <v>157</v>
      </c>
      <c r="G7" s="58"/>
      <c r="H7" s="58"/>
      <c r="I7" s="916"/>
      <c r="J7" s="917"/>
      <c r="K7" s="917"/>
      <c r="L7" s="918"/>
      <c r="M7" s="58"/>
    </row>
    <row r="8" spans="1:77" ht="25" thickBot="1" x14ac:dyDescent="0.25">
      <c r="A8" s="58"/>
      <c r="B8" s="935"/>
      <c r="C8" s="911">
        <f>IF(C3="Chainsaw",'Machine Rates'!H17,IF(C3="Harvester", 'Machine Rates'!J17,IF(C3="Feller-Buncher (rubber-tired)", 'Machine Rates'!N17,'Machine Rates'!L17)))*BM16</f>
        <v>191.92452832022246</v>
      </c>
      <c r="D8" s="912"/>
      <c r="E8" s="912"/>
      <c r="F8" s="248" t="s">
        <v>156</v>
      </c>
      <c r="G8" s="58"/>
      <c r="H8" s="58"/>
      <c r="I8" s="919"/>
      <c r="J8" s="920"/>
      <c r="K8" s="920"/>
      <c r="L8" s="921"/>
      <c r="M8" s="58"/>
    </row>
    <row r="9" spans="1:77" ht="16" thickBot="1" x14ac:dyDescent="0.25">
      <c r="A9" s="58"/>
      <c r="B9" s="58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</row>
    <row r="10" spans="1:77" ht="32" thickBot="1" x14ac:dyDescent="0.4">
      <c r="A10" s="58"/>
      <c r="B10" s="936" t="s">
        <v>255</v>
      </c>
      <c r="C10" s="937"/>
      <c r="D10" s="937"/>
      <c r="E10" s="937"/>
      <c r="F10" s="937"/>
      <c r="G10" s="938"/>
      <c r="H10" s="58"/>
      <c r="I10" s="936" t="s">
        <v>799</v>
      </c>
      <c r="J10" s="937"/>
      <c r="K10" s="937"/>
      <c r="L10" s="938"/>
      <c r="M10" s="58"/>
      <c r="Q10" s="691" t="s">
        <v>289</v>
      </c>
      <c r="R10" s="692"/>
      <c r="S10" s="692"/>
      <c r="T10" s="693"/>
    </row>
    <row r="11" spans="1:77" s="286" customFormat="1" ht="24" x14ac:dyDescent="0.3">
      <c r="A11" s="461"/>
      <c r="B11" s="939" t="s">
        <v>135</v>
      </c>
      <c r="C11" s="940"/>
      <c r="D11" s="940"/>
      <c r="E11" s="940"/>
      <c r="F11" s="940"/>
      <c r="G11" s="941"/>
      <c r="H11" s="58"/>
      <c r="I11" s="939" t="s">
        <v>135</v>
      </c>
      <c r="J11" s="940"/>
      <c r="K11" s="940"/>
      <c r="L11" s="941"/>
      <c r="M11" s="58"/>
      <c r="N11"/>
      <c r="Q11" s="11"/>
      <c r="R11"/>
      <c r="S11" s="647" t="s">
        <v>290</v>
      </c>
      <c r="T11" s="648" t="s">
        <v>291</v>
      </c>
      <c r="V11"/>
      <c r="W11"/>
      <c r="X11"/>
      <c r="BJ11" s="536"/>
      <c r="BK11" s="537"/>
      <c r="BL11" s="537" t="s">
        <v>239</v>
      </c>
      <c r="BM11" s="537" t="s">
        <v>240</v>
      </c>
      <c r="BN11" s="538" t="s">
        <v>235</v>
      </c>
      <c r="BO11"/>
      <c r="BP11" s="902" t="s">
        <v>234</v>
      </c>
      <c r="BQ11" s="903"/>
      <c r="BR11" s="903"/>
      <c r="BS11" s="904"/>
      <c r="BT11" s="223"/>
      <c r="BU11" s="902" t="s">
        <v>235</v>
      </c>
      <c r="BV11" s="903"/>
      <c r="BW11" s="903"/>
      <c r="BX11" s="903"/>
      <c r="BY11" s="904"/>
    </row>
    <row r="12" spans="1:77" ht="16" x14ac:dyDescent="0.2">
      <c r="A12" s="58"/>
      <c r="B12" s="328" t="s">
        <v>259</v>
      </c>
      <c r="C12" s="219" t="s">
        <v>166</v>
      </c>
      <c r="D12" s="222" t="s">
        <v>260</v>
      </c>
      <c r="E12" s="219" t="s">
        <v>261</v>
      </c>
      <c r="F12" s="222" t="s">
        <v>262</v>
      </c>
      <c r="G12" s="250" t="s">
        <v>263</v>
      </c>
      <c r="H12" s="58"/>
      <c r="I12" s="241" t="s">
        <v>130</v>
      </c>
      <c r="J12" s="220" t="s">
        <v>264</v>
      </c>
      <c r="K12" s="222" t="s">
        <v>688</v>
      </c>
      <c r="L12" s="250" t="s">
        <v>265</v>
      </c>
      <c r="M12" s="58"/>
      <c r="Q12" s="639" t="s">
        <v>294</v>
      </c>
      <c r="R12" s="622" t="s">
        <v>295</v>
      </c>
      <c r="S12" s="649">
        <v>1</v>
      </c>
      <c r="T12" s="640">
        <v>2</v>
      </c>
      <c r="BJ12" s="491" t="str">
        <f>IF(OR( Input!C14="Feller-Buncher (rubber-tired)", Input!C14= "Feller-Buncher (track-based)"), "Feller-Buncher", IF( Input!C14 = "Chainsaw", "Chainsaw", "Harvester"))</f>
        <v>Feller-Buncher</v>
      </c>
      <c r="BK12" s="492" t="str">
        <f>IF(Input!C7="Whole-Tree", "WT", IF( Input!C7= "Tree-Length", "TL", "CTL"))</f>
        <v>WT</v>
      </c>
      <c r="BL12" s="494">
        <f>INDEX(BP12:BS15,MATCH(BJ12,BP12:BP15,0),MATCH(BK12,BP12:BS12,0))</f>
        <v>1.5052434526576406</v>
      </c>
      <c r="BM12" s="531">
        <f>60/BL12</f>
        <v>39.860661671747977</v>
      </c>
      <c r="BN12" s="493">
        <f>INDEX(BU12:BX15,MATCH(BJ12,BU12:BU15,0),MATCH(BK12,BU12:BX12,0))</f>
        <v>1.0261514052725642</v>
      </c>
      <c r="BP12" s="489"/>
      <c r="BQ12" s="223" t="s">
        <v>241</v>
      </c>
      <c r="BR12" s="223" t="s">
        <v>242</v>
      </c>
      <c r="BS12" s="490" t="s">
        <v>243</v>
      </c>
      <c r="BT12" s="223"/>
      <c r="BU12" s="489"/>
      <c r="BV12" s="223" t="s">
        <v>241</v>
      </c>
      <c r="BW12" s="223" t="s">
        <v>242</v>
      </c>
      <c r="BX12" s="223" t="s">
        <v>243</v>
      </c>
      <c r="BY12" s="490"/>
    </row>
    <row r="13" spans="1:77" ht="16" x14ac:dyDescent="0.2">
      <c r="A13" s="58"/>
      <c r="B13" s="232" t="s">
        <v>266</v>
      </c>
      <c r="C13" s="56"/>
      <c r="D13" s="227">
        <f>Input!C6</f>
        <v>21</v>
      </c>
      <c r="E13" s="178" t="s">
        <v>659</v>
      </c>
      <c r="F13" s="15" t="s">
        <v>715</v>
      </c>
      <c r="G13" s="481">
        <f>IF(C13="",D13,C13)</f>
        <v>21</v>
      </c>
      <c r="H13" s="58"/>
      <c r="I13" s="253" t="s">
        <v>241</v>
      </c>
      <c r="J13" s="254">
        <f>-2.207+0.1822*G15*2.54</f>
        <v>0.74412371310993519</v>
      </c>
      <c r="K13" t="s">
        <v>712</v>
      </c>
      <c r="L13" s="252" t="s">
        <v>269</v>
      </c>
      <c r="M13" s="58"/>
      <c r="Q13" s="639" t="s">
        <v>298</v>
      </c>
      <c r="R13" s="622">
        <v>1</v>
      </c>
      <c r="S13" s="650">
        <v>0</v>
      </c>
      <c r="T13" s="641">
        <v>0</v>
      </c>
      <c r="V13" s="287"/>
      <c r="W13" s="287"/>
      <c r="X13" s="287"/>
      <c r="BP13" s="489" t="s">
        <v>135</v>
      </c>
      <c r="BQ13" s="254">
        <f ca="1">AVERAGEIF(I13:J17,BQ12,J13:J17)*(1+INDEX($AV$25:$BH$34,MATCH(MROUND($G$13,5),$AU$25:$AU$34,0),MATCH(ROUND($G$15,0),$AV$24:$BH$24,0)))</f>
        <v>1.4507286447545489</v>
      </c>
      <c r="BR13" s="254">
        <f ca="1">AVERAGEIF(I13:J17,BR12,J13:J17)*(1+INDEX($AV$41:$BH$52,MATCH(MROUND($G$13,5),$AU$41:$AU$52,0),MATCH(ROUND($G$15,0),$AV$40:$BH$40,0)))</f>
        <v>1.6183184696621731</v>
      </c>
      <c r="BS13" s="490"/>
      <c r="BT13" s="223"/>
      <c r="BU13" s="489" t="s">
        <v>135</v>
      </c>
      <c r="BV13" s="254">
        <f>'Tree volume estimation'!E14</f>
        <v>0.25163808355481415</v>
      </c>
      <c r="BW13" s="254">
        <f>'Tree volume estimation'!E14</f>
        <v>0.25163808355481415</v>
      </c>
      <c r="BX13" s="254"/>
      <c r="BY13" s="490"/>
    </row>
    <row r="14" spans="1:77" ht="16" x14ac:dyDescent="0.2">
      <c r="A14" s="58"/>
      <c r="B14" s="233" t="s">
        <v>657</v>
      </c>
      <c r="C14" s="56"/>
      <c r="D14" s="227">
        <f>SQRT(43560/SUM(Input!H40,Input!J40,Input!L40,Input!N40,Input!P40))</f>
        <v>16.002645283972775</v>
      </c>
      <c r="E14" s="213" t="s">
        <v>270</v>
      </c>
      <c r="F14" s="15" t="s">
        <v>271</v>
      </c>
      <c r="G14" s="236">
        <f>IF(C14="",D14,C14)</f>
        <v>16.002645283972775</v>
      </c>
      <c r="H14" s="58"/>
      <c r="I14" s="253" t="s">
        <v>241</v>
      </c>
      <c r="J14" s="254">
        <f>(235.5+0.07*(G15*2.54)^2+59.116*LN(10/100)+6.34*G14/3.281+78.082*G22)/100</f>
        <v>1.5413300835063362</v>
      </c>
      <c r="K14" t="s">
        <v>713</v>
      </c>
      <c r="L14" s="230" t="s">
        <v>273</v>
      </c>
      <c r="M14" s="58"/>
      <c r="Q14" s="642" t="s">
        <v>300</v>
      </c>
      <c r="R14" s="622">
        <v>2</v>
      </c>
      <c r="S14" s="651">
        <v>0.1</v>
      </c>
      <c r="T14" s="641">
        <v>0.02</v>
      </c>
      <c r="BJ14" s="945" t="s">
        <v>249</v>
      </c>
      <c r="BK14" s="946"/>
      <c r="BL14" s="946"/>
      <c r="BM14" s="495">
        <f>BM12*BN12</f>
        <v>40.903073989558422</v>
      </c>
      <c r="BN14" s="509" t="s">
        <v>250</v>
      </c>
      <c r="BP14" s="489" t="s">
        <v>248</v>
      </c>
      <c r="BQ14" s="254">
        <f>AVERAGE(J27:J34)*(1+INDEX(S13:T17,MATCH(IF(G33&lt;11,1,IF(G33&lt;21,2,IF(G33&lt;34,3,IF(G33&lt;50,4,5)))),R13:R17,0),MATCH(IF(Input!C15="No", 1, 2),S12:T12,0)))</f>
        <v>1.5052434526576406</v>
      </c>
      <c r="BR14" s="223"/>
      <c r="BS14" s="490"/>
      <c r="BT14" s="223"/>
      <c r="BU14" s="489" t="s">
        <v>248</v>
      </c>
      <c r="BV14" s="254">
        <f>'Tree volume estimation'!$E$14*Felling!$G$27</f>
        <v>1.0261514052725642</v>
      </c>
      <c r="BW14" s="223"/>
      <c r="BX14" s="223"/>
      <c r="BY14" s="490"/>
    </row>
    <row r="15" spans="1:77" ht="16" x14ac:dyDescent="0.2">
      <c r="A15" s="58"/>
      <c r="B15" s="232" t="s">
        <v>783</v>
      </c>
      <c r="C15" s="56"/>
      <c r="D15" s="178">
        <f>'Tree volume estimation'!E9</f>
        <v>6.3768371546149325</v>
      </c>
      <c r="E15" s="178" t="s">
        <v>659</v>
      </c>
      <c r="F15" s="15" t="s">
        <v>714</v>
      </c>
      <c r="G15" s="236">
        <f>IF(C15="",D15,C15)</f>
        <v>6.3768371546149325</v>
      </c>
      <c r="H15" s="58"/>
      <c r="I15" s="253" t="s">
        <v>242</v>
      </c>
      <c r="J15" s="254">
        <f>(EXP(3.01+0.031*G15*2.54+0.545*(0.94)+0.243*LN(G14/3.281)+0.298*G22))/100</f>
        <v>0.83959233307558478</v>
      </c>
      <c r="K15" t="s">
        <v>713</v>
      </c>
      <c r="L15" s="230" t="s">
        <v>274</v>
      </c>
      <c r="M15" s="58"/>
      <c r="Q15" s="643" t="s">
        <v>302</v>
      </c>
      <c r="R15" s="622">
        <v>3</v>
      </c>
      <c r="S15" s="651">
        <v>0.25</v>
      </c>
      <c r="T15" s="641">
        <v>0.1</v>
      </c>
      <c r="BJ15" s="947" t="s">
        <v>251</v>
      </c>
      <c r="BK15" s="948"/>
      <c r="BL15" s="948"/>
      <c r="BM15" s="4">
        <f>'Tree volume estimation'!E12</f>
        <v>42.803638012673879</v>
      </c>
      <c r="BN15" s="2" t="s">
        <v>252</v>
      </c>
      <c r="BP15" s="491" t="s">
        <v>146</v>
      </c>
      <c r="BQ15" s="492"/>
      <c r="BR15" s="492"/>
      <c r="BS15" s="493">
        <f>AVERAGE(J40:J43)*(1+INDEX(S13:T17,MATCH(IF(G33&lt;11,1,IF(G33&lt;21,2,IF(G33&lt;34,3,IF(G33&lt;50,4,5)))),R13:R17,0),MATCH(IF(Input!C15="No", 1, 2),S12:T12,0)))</f>
        <v>1.1589909996935792</v>
      </c>
      <c r="BT15" s="223"/>
      <c r="BU15" s="491" t="s">
        <v>146</v>
      </c>
      <c r="BV15" s="492"/>
      <c r="BW15" s="492"/>
      <c r="BX15" s="494">
        <f>'Tree volume estimation'!E14</f>
        <v>0.25163808355481415</v>
      </c>
      <c r="BY15" s="493">
        <f>IF(Input!$C$8=4,'Tree volume estimation'!$P$8,'Tree volume estimation'!$U$8)</f>
        <v>0.68114875378035</v>
      </c>
    </row>
    <row r="16" spans="1:77" ht="16" x14ac:dyDescent="0.2">
      <c r="A16" s="58"/>
      <c r="B16" s="942" t="s">
        <v>275</v>
      </c>
      <c r="C16" s="943"/>
      <c r="D16" s="943"/>
      <c r="E16" s="943"/>
      <c r="F16" s="943"/>
      <c r="G16" s="944"/>
      <c r="H16" s="58"/>
      <c r="I16" s="253" t="s">
        <v>242</v>
      </c>
      <c r="J16" s="254">
        <f>1.3286+0.0187*G14+0.09868*'Tree volume estimation'!E13+0.3541*G18+0.9019*G21</f>
        <v>2.6746195951764005</v>
      </c>
      <c r="K16" t="s">
        <v>276</v>
      </c>
      <c r="L16" s="20" t="s">
        <v>277</v>
      </c>
      <c r="M16" s="58"/>
      <c r="Q16" s="643" t="s">
        <v>305</v>
      </c>
      <c r="R16" s="622">
        <v>4</v>
      </c>
      <c r="S16" s="651">
        <v>0.4</v>
      </c>
      <c r="T16" s="641">
        <v>0.2</v>
      </c>
      <c r="BJ16" s="947" t="s">
        <v>253</v>
      </c>
      <c r="BK16" s="948"/>
      <c r="BL16" s="948"/>
      <c r="BM16" s="4">
        <f>BM15/BM14</f>
        <v>1.0464650657698886</v>
      </c>
      <c r="BN16" s="2" t="s">
        <v>254</v>
      </c>
    </row>
    <row r="17" spans="1:66" ht="17" thickBot="1" x14ac:dyDescent="0.25">
      <c r="A17" s="58"/>
      <c r="B17" s="332" t="s">
        <v>708</v>
      </c>
      <c r="C17" s="15"/>
      <c r="D17" s="227">
        <v>1</v>
      </c>
      <c r="E17" s="212" t="s">
        <v>711</v>
      </c>
      <c r="F17" s="15" t="s">
        <v>716</v>
      </c>
      <c r="G17" s="330">
        <f t="shared" ref="G17:G23" si="0">IF(C17="",D17,C17)</f>
        <v>1</v>
      </c>
      <c r="H17" s="58"/>
      <c r="I17" s="253" t="s">
        <v>242</v>
      </c>
      <c r="J17" s="254">
        <f>-1.492+0.088*G15*2.54+0.728*G19+0.853*G22</f>
        <v>0.70974389321105225</v>
      </c>
      <c r="K17" t="s">
        <v>278</v>
      </c>
      <c r="L17" s="231" t="s">
        <v>279</v>
      </c>
      <c r="M17" s="58"/>
      <c r="Q17" s="644" t="s">
        <v>307</v>
      </c>
      <c r="R17" s="646">
        <v>5</v>
      </c>
      <c r="S17" s="644" t="s">
        <v>281</v>
      </c>
      <c r="T17" s="645">
        <v>0.4</v>
      </c>
      <c r="BJ17" s="947" t="s">
        <v>257</v>
      </c>
      <c r="BK17" s="948"/>
      <c r="BL17" s="948"/>
      <c r="BM17" s="4">
        <f>IF(Input!C8=6,'Tree volume estimation'!U6,'Tree volume estimation'!P6)</f>
        <v>30.379234418603609</v>
      </c>
      <c r="BN17" s="2" t="s">
        <v>252</v>
      </c>
    </row>
    <row r="18" spans="1:66" ht="15" customHeight="1" x14ac:dyDescent="0.2">
      <c r="A18" s="58"/>
      <c r="B18" s="333" t="s">
        <v>280</v>
      </c>
      <c r="C18" s="15"/>
      <c r="D18" s="227">
        <v>0</v>
      </c>
      <c r="E18" s="234" t="s">
        <v>658</v>
      </c>
      <c r="F18" s="15" t="s">
        <v>281</v>
      </c>
      <c r="G18" s="330">
        <f t="shared" si="0"/>
        <v>0</v>
      </c>
      <c r="H18" s="58"/>
      <c r="I18" s="11"/>
      <c r="L18" s="12"/>
      <c r="M18" s="58"/>
      <c r="S18" t="s">
        <v>30</v>
      </c>
      <c r="BJ18" s="949" t="s">
        <v>258</v>
      </c>
      <c r="BK18" s="950"/>
      <c r="BL18" s="950"/>
      <c r="BM18" s="488">
        <f>BM17/BM16</f>
        <v>29.030337860589242</v>
      </c>
      <c r="BN18" s="504" t="s">
        <v>238</v>
      </c>
    </row>
    <row r="19" spans="1:66" x14ac:dyDescent="0.2">
      <c r="A19" s="58"/>
      <c r="B19" s="334" t="s">
        <v>709</v>
      </c>
      <c r="C19" s="15"/>
      <c r="D19" s="178">
        <f>0.586094+0.06247*(G15)</f>
        <v>0.9844550170487949</v>
      </c>
      <c r="E19" s="211" t="s">
        <v>282</v>
      </c>
      <c r="F19" s="15" t="s">
        <v>283</v>
      </c>
      <c r="G19" s="331">
        <f t="shared" si="0"/>
        <v>0.9844550170487949</v>
      </c>
      <c r="H19" s="58"/>
      <c r="I19" s="11"/>
      <c r="L19" s="12"/>
      <c r="M19" s="58"/>
      <c r="AQ19" s="32"/>
    </row>
    <row r="20" spans="1:66" x14ac:dyDescent="0.2">
      <c r="A20" s="58"/>
      <c r="B20" s="334" t="s">
        <v>284</v>
      </c>
      <c r="C20" s="15"/>
      <c r="D20" s="178">
        <v>0.5</v>
      </c>
      <c r="E20" s="178" t="s">
        <v>721</v>
      </c>
      <c r="F20" s="15" t="s">
        <v>281</v>
      </c>
      <c r="G20" s="331">
        <f t="shared" si="0"/>
        <v>0.5</v>
      </c>
      <c r="H20" s="58"/>
      <c r="I20" s="11"/>
      <c r="L20" s="12"/>
      <c r="M20" s="58"/>
      <c r="AV20" s="4"/>
    </row>
    <row r="21" spans="1:66" x14ac:dyDescent="0.2">
      <c r="A21" s="58"/>
      <c r="B21" s="332" t="s">
        <v>710</v>
      </c>
      <c r="C21" s="15"/>
      <c r="D21" s="227">
        <v>0</v>
      </c>
      <c r="E21" s="234" t="s">
        <v>720</v>
      </c>
      <c r="F21" s="15" t="s">
        <v>716</v>
      </c>
      <c r="G21" s="330">
        <f t="shared" si="0"/>
        <v>0</v>
      </c>
      <c r="H21" s="58"/>
      <c r="I21" s="11"/>
      <c r="L21" s="12"/>
      <c r="M21" s="58"/>
    </row>
    <row r="22" spans="1:66" x14ac:dyDescent="0.2">
      <c r="A22" s="58"/>
      <c r="B22" s="332" t="s">
        <v>285</v>
      </c>
      <c r="C22" s="480"/>
      <c r="D22" s="181">
        <v>7.0000000000000007E-2</v>
      </c>
      <c r="E22" s="212" t="s">
        <v>719</v>
      </c>
      <c r="F22" s="15" t="s">
        <v>717</v>
      </c>
      <c r="G22" s="339">
        <f>IF(C22="",D22,C22)</f>
        <v>7.0000000000000007E-2</v>
      </c>
      <c r="H22" s="58"/>
      <c r="I22" s="11"/>
      <c r="L22" s="12"/>
      <c r="M22" s="58"/>
    </row>
    <row r="23" spans="1:66" ht="25" thickBot="1" x14ac:dyDescent="0.35">
      <c r="A23" s="58"/>
      <c r="B23" s="463" t="s">
        <v>286</v>
      </c>
      <c r="C23" s="214"/>
      <c r="D23" s="464">
        <v>0</v>
      </c>
      <c r="E23" s="444" t="s">
        <v>718</v>
      </c>
      <c r="F23" s="214" t="s">
        <v>716</v>
      </c>
      <c r="G23" s="465">
        <f t="shared" si="0"/>
        <v>0</v>
      </c>
      <c r="H23" s="58"/>
      <c r="I23" s="13"/>
      <c r="J23" s="1"/>
      <c r="K23" s="1"/>
      <c r="L23" s="14"/>
      <c r="M23" s="58"/>
      <c r="T23" s="286"/>
      <c r="AU23" s="897" t="s">
        <v>823</v>
      </c>
      <c r="AV23" s="898"/>
      <c r="AW23" s="898"/>
      <c r="AX23" s="898"/>
      <c r="AY23" s="898"/>
      <c r="AZ23" s="898"/>
      <c r="BA23" s="898"/>
      <c r="BB23" s="898"/>
      <c r="BC23" s="898"/>
      <c r="BD23" s="898"/>
      <c r="BE23" s="898"/>
      <c r="BF23" s="898"/>
      <c r="BG23" s="898"/>
      <c r="BH23" s="899"/>
    </row>
    <row r="24" spans="1:66" ht="25" thickBot="1" x14ac:dyDescent="0.35">
      <c r="A24" s="58"/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AD24" s="897" t="s">
        <v>821</v>
      </c>
      <c r="AE24" s="898"/>
      <c r="AF24" s="898"/>
      <c r="AG24" s="898"/>
      <c r="AH24" s="898"/>
      <c r="AI24" s="898"/>
      <c r="AJ24" s="898"/>
      <c r="AK24" s="898"/>
      <c r="AL24" s="898"/>
      <c r="AM24" s="898"/>
      <c r="AN24" s="898"/>
      <c r="AO24" s="898"/>
      <c r="AP24" s="898"/>
      <c r="AQ24" s="899"/>
      <c r="AU24" s="501" t="s">
        <v>287</v>
      </c>
      <c r="AV24" s="497">
        <v>3</v>
      </c>
      <c r="AW24" s="498">
        <v>4</v>
      </c>
      <c r="AX24" s="498">
        <v>5</v>
      </c>
      <c r="AY24" s="498">
        <v>6</v>
      </c>
      <c r="AZ24" s="498">
        <v>7</v>
      </c>
      <c r="BA24" s="498">
        <v>8</v>
      </c>
      <c r="BB24" s="498">
        <v>9</v>
      </c>
      <c r="BC24" s="498">
        <v>10</v>
      </c>
      <c r="BD24" s="498">
        <v>11</v>
      </c>
      <c r="BE24" s="498">
        <v>12</v>
      </c>
      <c r="BF24" s="498">
        <v>13</v>
      </c>
      <c r="BG24" s="498">
        <v>14</v>
      </c>
      <c r="BH24" s="499">
        <v>15</v>
      </c>
    </row>
    <row r="25" spans="1:66" s="286" customFormat="1" ht="23.5" customHeight="1" x14ac:dyDescent="0.3">
      <c r="A25" s="462"/>
      <c r="B25" s="939" t="s">
        <v>248</v>
      </c>
      <c r="C25" s="940"/>
      <c r="D25" s="940"/>
      <c r="E25" s="940"/>
      <c r="F25" s="940"/>
      <c r="G25" s="941"/>
      <c r="H25" s="58"/>
      <c r="I25" s="939" t="s">
        <v>248</v>
      </c>
      <c r="J25" s="940"/>
      <c r="K25" s="940"/>
      <c r="L25" s="941"/>
      <c r="M25" s="58"/>
      <c r="N25"/>
      <c r="Q25" s="905" t="s">
        <v>832</v>
      </c>
      <c r="R25" s="906"/>
      <c r="S25"/>
      <c r="T25"/>
      <c r="U25"/>
      <c r="V25"/>
      <c r="W25"/>
      <c r="X25"/>
      <c r="Y25"/>
      <c r="AD25" s="501" t="s">
        <v>287</v>
      </c>
      <c r="AE25" s="497">
        <v>3</v>
      </c>
      <c r="AF25" s="498">
        <v>4</v>
      </c>
      <c r="AG25" s="498">
        <v>5</v>
      </c>
      <c r="AH25" s="498">
        <v>6</v>
      </c>
      <c r="AI25" s="498">
        <v>7</v>
      </c>
      <c r="AJ25" s="498">
        <v>8</v>
      </c>
      <c r="AK25" s="498">
        <v>9</v>
      </c>
      <c r="AL25" s="498">
        <v>10</v>
      </c>
      <c r="AM25" s="498">
        <v>11</v>
      </c>
      <c r="AN25" s="498">
        <v>12</v>
      </c>
      <c r="AO25" s="498">
        <v>13</v>
      </c>
      <c r="AP25" s="498">
        <v>14</v>
      </c>
      <c r="AQ25" s="499">
        <v>15</v>
      </c>
      <c r="AT25" s="894" t="s">
        <v>288</v>
      </c>
      <c r="AU25" s="502">
        <v>10</v>
      </c>
      <c r="AV25" s="573">
        <f t="shared" ref="AV25:AV34" si="1">(AE26-AE$26)/AE$26</f>
        <v>0</v>
      </c>
      <c r="AW25" s="574">
        <f t="shared" ref="AW25:AW34" si="2">(AF26-AF$26)/AF$26</f>
        <v>0</v>
      </c>
      <c r="AX25" s="574">
        <f t="shared" ref="AX25:AX34" si="3">(AG26-AG$26)/AG$26</f>
        <v>0</v>
      </c>
      <c r="AY25" s="574">
        <f t="shared" ref="AY25:AY34" si="4">(AH26-AH$26)/AH$26</f>
        <v>0</v>
      </c>
      <c r="AZ25" s="574">
        <f t="shared" ref="AZ25:AZ34" si="5">(AI26-AI$26)/AI$26</f>
        <v>0</v>
      </c>
      <c r="BA25" s="574">
        <f t="shared" ref="BA25:BA34" si="6">(AJ26-AJ$26)/AJ$26</f>
        <v>0</v>
      </c>
      <c r="BB25" s="574">
        <f t="shared" ref="BB25:BB34" si="7">(AK26-AK$26)/AK$26</f>
        <v>0</v>
      </c>
      <c r="BC25" s="574">
        <f t="shared" ref="BC25:BC34" si="8">(AL26-AL$26)/AL$26</f>
        <v>0</v>
      </c>
      <c r="BD25" s="574">
        <f t="shared" ref="BD25:BD34" si="9">(AM26-AM$26)/AM$26</f>
        <v>0</v>
      </c>
      <c r="BE25" s="574">
        <f t="shared" ref="BE25:BE34" si="10">(AN26-AN$26)/AN$26</f>
        <v>0</v>
      </c>
      <c r="BF25" s="574">
        <f t="shared" ref="BF25:BF34" si="11">(AO26-AO$26)/AO$26</f>
        <v>0</v>
      </c>
      <c r="BG25" s="574">
        <f t="shared" ref="BG25:BG34" si="12">(AP26-AP$26)/AP$26</f>
        <v>0</v>
      </c>
      <c r="BH25" s="364">
        <f t="shared" ref="BH25:BH34" si="13">(AQ26-AQ$26)/AQ$26</f>
        <v>0</v>
      </c>
    </row>
    <row r="26" spans="1:66" ht="14.5" customHeight="1" x14ac:dyDescent="0.2">
      <c r="A26" s="58"/>
      <c r="B26" s="328" t="s">
        <v>259</v>
      </c>
      <c r="C26" s="219" t="s">
        <v>166</v>
      </c>
      <c r="D26" s="222" t="s">
        <v>260</v>
      </c>
      <c r="E26" s="219" t="s">
        <v>261</v>
      </c>
      <c r="F26" s="222" t="s">
        <v>262</v>
      </c>
      <c r="G26" s="250" t="s">
        <v>263</v>
      </c>
      <c r="H26" s="58"/>
      <c r="I26" s="241" t="s">
        <v>130</v>
      </c>
      <c r="J26" s="220" t="s">
        <v>264</v>
      </c>
      <c r="K26" s="222" t="s">
        <v>688</v>
      </c>
      <c r="L26" s="250" t="s">
        <v>265</v>
      </c>
      <c r="M26" s="58"/>
      <c r="Q26" s="900" t="s">
        <v>236</v>
      </c>
      <c r="R26" s="901"/>
      <c r="AC26" s="894" t="s">
        <v>288</v>
      </c>
      <c r="AD26" s="502">
        <v>10</v>
      </c>
      <c r="AE26" s="361">
        <f t="shared" ref="AE26:AQ26" si="14">(235.5+0.07*(AE25*2.54)^2+59.116*LN($AD$26/100)+6.34*$G$14/3.281+78.082*$G$22)/100</f>
        <v>1.3983314245523923</v>
      </c>
      <c r="AF26" s="4">
        <f t="shared" si="14"/>
        <v>1.4299442645523925</v>
      </c>
      <c r="AG26" s="4">
        <f t="shared" si="14"/>
        <v>1.4705893445523923</v>
      </c>
      <c r="AH26" s="4">
        <f t="shared" si="14"/>
        <v>1.5202666645523926</v>
      </c>
      <c r="AI26" s="4">
        <f t="shared" si="14"/>
        <v>1.5789762245523924</v>
      </c>
      <c r="AJ26" s="4">
        <f t="shared" si="14"/>
        <v>1.6467180245523922</v>
      </c>
      <c r="AK26" s="4">
        <f t="shared" si="14"/>
        <v>1.7234920645523926</v>
      </c>
      <c r="AL26" s="4">
        <f t="shared" si="14"/>
        <v>1.8092983445523925</v>
      </c>
      <c r="AM26" s="4">
        <f t="shared" si="14"/>
        <v>1.9041368645523926</v>
      </c>
      <c r="AN26" s="4">
        <f t="shared" si="14"/>
        <v>2.0080076245523926</v>
      </c>
      <c r="AO26" s="4">
        <f t="shared" si="14"/>
        <v>2.1209106245523928</v>
      </c>
      <c r="AP26" s="4">
        <f t="shared" si="14"/>
        <v>2.2428458645523928</v>
      </c>
      <c r="AQ26" s="5">
        <f t="shared" si="14"/>
        <v>2.3738133445523926</v>
      </c>
      <c r="AT26" s="895"/>
      <c r="AU26" s="502">
        <v>15</v>
      </c>
      <c r="AV26" s="573">
        <f t="shared" si="1"/>
        <v>0.17141483706979482</v>
      </c>
      <c r="AW26" s="574">
        <f t="shared" si="2"/>
        <v>0.16762524194203646</v>
      </c>
      <c r="AX26" s="574">
        <f t="shared" si="3"/>
        <v>0.16299230930588499</v>
      </c>
      <c r="AY26" s="574">
        <f t="shared" si="4"/>
        <v>0.15766625612342475</v>
      </c>
      <c r="AZ26" s="574">
        <f t="shared" si="5"/>
        <v>0.15180390279604797</v>
      </c>
      <c r="BA26" s="574">
        <f t="shared" si="6"/>
        <v>0.14555907552804953</v>
      </c>
      <c r="BB26" s="574">
        <f t="shared" si="7"/>
        <v>0.13907505479085175</v>
      </c>
      <c r="BC26" s="574">
        <f t="shared" si="8"/>
        <v>0.13247939679540299</v>
      </c>
      <c r="BD26" s="574">
        <f t="shared" si="9"/>
        <v>0.1258810528651613</v>
      </c>
      <c r="BE26" s="574">
        <f t="shared" si="10"/>
        <v>0.11936944381008156</v>
      </c>
      <c r="BF26" s="574">
        <f t="shared" si="11"/>
        <v>0.11301501842389468</v>
      </c>
      <c r="BG26" s="574">
        <f t="shared" si="12"/>
        <v>0.10687080958060323</v>
      </c>
      <c r="BH26" s="364">
        <f t="shared" si="13"/>
        <v>0.1009745580288743</v>
      </c>
    </row>
    <row r="27" spans="1:66" x14ac:dyDescent="0.2">
      <c r="A27" s="58"/>
      <c r="B27" s="233" t="s">
        <v>725</v>
      </c>
      <c r="C27" s="56"/>
      <c r="D27" s="178">
        <f>MAX(-0.4363*G32+6.8601,1)</f>
        <v>4.0778859494415052</v>
      </c>
      <c r="E27" s="211" t="s">
        <v>606</v>
      </c>
      <c r="F27" s="15" t="s">
        <v>717</v>
      </c>
      <c r="G27" s="236">
        <f t="shared" ref="G27:G30" si="15">IF(C27="",D27,C27)</f>
        <v>4.0778859494415052</v>
      </c>
      <c r="H27" s="58"/>
      <c r="I27" s="253" t="s">
        <v>241</v>
      </c>
      <c r="J27" s="254">
        <f>(1.336+0.379*G28+7.165*G27+0.315*G31+0.399*G30)/100</f>
        <v>0.59384862705880781</v>
      </c>
      <c r="K27" t="s">
        <v>722</v>
      </c>
      <c r="L27" s="230" t="s">
        <v>293</v>
      </c>
      <c r="M27" s="58"/>
      <c r="Q27" s="632" t="s">
        <v>244</v>
      </c>
      <c r="R27" s="633" t="s">
        <v>245</v>
      </c>
      <c r="AC27" s="895"/>
      <c r="AD27" s="502">
        <v>15</v>
      </c>
      <c r="AE27" s="361">
        <f t="shared" ref="AE27:AQ27" si="16">(235.5+0.07*(AE25*2.54)^2+59.116*LN($AD$27/100)+6.34*$G$14/3.281+78.082*$G$22)/100</f>
        <v>1.6380261778616148</v>
      </c>
      <c r="AF27" s="4">
        <f t="shared" si="16"/>
        <v>1.6696390178616147</v>
      </c>
      <c r="AG27" s="4">
        <f t="shared" si="16"/>
        <v>1.7102840978616145</v>
      </c>
      <c r="AH27" s="4">
        <f t="shared" si="16"/>
        <v>1.7599614178616148</v>
      </c>
      <c r="AI27" s="4">
        <f t="shared" si="16"/>
        <v>1.8186709778616146</v>
      </c>
      <c r="AJ27" s="4">
        <f t="shared" si="16"/>
        <v>1.8864127778616144</v>
      </c>
      <c r="AK27" s="4">
        <f t="shared" si="16"/>
        <v>1.9631868178616148</v>
      </c>
      <c r="AL27" s="4">
        <f t="shared" si="16"/>
        <v>2.0489930978616147</v>
      </c>
      <c r="AM27" s="4">
        <f t="shared" si="16"/>
        <v>2.1438316178616148</v>
      </c>
      <c r="AN27" s="4">
        <f t="shared" si="16"/>
        <v>2.2477023778616148</v>
      </c>
      <c r="AO27" s="4">
        <f t="shared" si="16"/>
        <v>2.3606053778616154</v>
      </c>
      <c r="AP27" s="4">
        <f t="shared" si="16"/>
        <v>2.482540617861615</v>
      </c>
      <c r="AQ27" s="5">
        <f t="shared" si="16"/>
        <v>2.6135080978616143</v>
      </c>
      <c r="AT27" s="895"/>
      <c r="AU27" s="502">
        <v>20</v>
      </c>
      <c r="AV27" s="573">
        <f t="shared" si="1"/>
        <v>0.29303559947598407</v>
      </c>
      <c r="AW27" s="574">
        <f t="shared" si="2"/>
        <v>0.28655724381543113</v>
      </c>
      <c r="AX27" s="574">
        <f t="shared" si="3"/>
        <v>0.27863719316185948</v>
      </c>
      <c r="AY27" s="574">
        <f t="shared" si="4"/>
        <v>0.26953224510810536</v>
      </c>
      <c r="AZ27" s="574">
        <f t="shared" si="5"/>
        <v>0.25951048590106285</v>
      </c>
      <c r="BA27" s="574">
        <f t="shared" si="6"/>
        <v>0.24883488317388019</v>
      </c>
      <c r="BB27" s="574">
        <f t="shared" si="7"/>
        <v>0.23775037651028344</v>
      </c>
      <c r="BC27" s="574">
        <f t="shared" si="8"/>
        <v>0.22647502469317132</v>
      </c>
      <c r="BD27" s="574">
        <f t="shared" si="9"/>
        <v>0.21519508124020276</v>
      </c>
      <c r="BE27" s="574">
        <f t="shared" si="10"/>
        <v>0.2040634120356776</v>
      </c>
      <c r="BF27" s="574">
        <f t="shared" si="11"/>
        <v>0.19320045008794062</v>
      </c>
      <c r="BG27" s="574">
        <f t="shared" si="12"/>
        <v>0.18269685569391236</v>
      </c>
      <c r="BH27" s="364">
        <f t="shared" si="13"/>
        <v>0.17261714708958373</v>
      </c>
    </row>
    <row r="28" spans="1:66" x14ac:dyDescent="0.2">
      <c r="A28" s="58"/>
      <c r="B28" s="233" t="s">
        <v>833</v>
      </c>
      <c r="C28" s="56"/>
      <c r="D28" s="181">
        <v>18.5</v>
      </c>
      <c r="E28" s="212" t="s">
        <v>719</v>
      </c>
      <c r="F28" s="15" t="s">
        <v>717</v>
      </c>
      <c r="G28" s="236">
        <f t="shared" si="15"/>
        <v>18.5</v>
      </c>
      <c r="H28" s="58"/>
      <c r="I28" s="253" t="s">
        <v>241</v>
      </c>
      <c r="J28" s="254">
        <f>(EXP(2.7664+0.1758*LN(G28)+0.314*LN(G30)+0.0941*G27))/100</f>
        <v>0.92732247700536508</v>
      </c>
      <c r="K28" t="s">
        <v>723</v>
      </c>
      <c r="L28" s="231" t="s">
        <v>297</v>
      </c>
      <c r="M28" s="58"/>
      <c r="Q28" s="634">
        <v>2.0960000000000001</v>
      </c>
      <c r="R28" s="636">
        <v>7</v>
      </c>
      <c r="AC28" s="895"/>
      <c r="AD28" s="502">
        <v>20</v>
      </c>
      <c r="AE28" s="361">
        <f t="shared" ref="AE28:AQ28" si="17">(235.5+0.07*(AE25*2.54)^2+59.116*LN($AD$28/100)+6.34*$G$14/3.281+78.082*$G$22)/100</f>
        <v>1.8080923118122094</v>
      </c>
      <c r="AF28" s="4">
        <f t="shared" si="17"/>
        <v>1.8397051518122098</v>
      </c>
      <c r="AG28" s="4">
        <f t="shared" si="17"/>
        <v>1.8803502318122096</v>
      </c>
      <c r="AH28" s="4">
        <f t="shared" si="17"/>
        <v>1.9300275518122099</v>
      </c>
      <c r="AI28" s="4">
        <f t="shared" si="17"/>
        <v>1.9887371118122095</v>
      </c>
      <c r="AJ28" s="4">
        <f t="shared" si="17"/>
        <v>2.0564789118122095</v>
      </c>
      <c r="AK28" s="4">
        <f t="shared" si="17"/>
        <v>2.1332529518122096</v>
      </c>
      <c r="AL28" s="4">
        <f t="shared" si="17"/>
        <v>2.2190592318122095</v>
      </c>
      <c r="AM28" s="4">
        <f t="shared" si="17"/>
        <v>2.3138977518122097</v>
      </c>
      <c r="AN28" s="4">
        <f t="shared" si="17"/>
        <v>2.4177685118122096</v>
      </c>
      <c r="AO28" s="4">
        <f t="shared" si="17"/>
        <v>2.5306715118122103</v>
      </c>
      <c r="AP28" s="4">
        <f t="shared" si="17"/>
        <v>2.6526067518122094</v>
      </c>
      <c r="AQ28" s="5">
        <f t="shared" si="17"/>
        <v>2.7835742318122096</v>
      </c>
      <c r="AT28" s="895"/>
      <c r="AU28" s="502">
        <v>25</v>
      </c>
      <c r="AV28" s="573">
        <f t="shared" si="1"/>
        <v>0.3873719917494638</v>
      </c>
      <c r="AW28" s="574">
        <f t="shared" si="2"/>
        <v>0.37880807139310607</v>
      </c>
      <c r="AX28" s="574">
        <f t="shared" si="3"/>
        <v>0.3683383339212189</v>
      </c>
      <c r="AY28" s="574">
        <f t="shared" si="4"/>
        <v>0.35630224728647131</v>
      </c>
      <c r="AZ28" s="574">
        <f t="shared" si="5"/>
        <v>0.34305420223048577</v>
      </c>
      <c r="BA28" s="574">
        <f t="shared" si="6"/>
        <v>0.32894182305556668</v>
      </c>
      <c r="BB28" s="574">
        <f t="shared" si="7"/>
        <v>0.31428890227899225</v>
      </c>
      <c r="BC28" s="574">
        <f t="shared" si="8"/>
        <v>0.29938369793221248</v>
      </c>
      <c r="BD28" s="574">
        <f t="shared" si="9"/>
        <v>0.28447242377299253</v>
      </c>
      <c r="BE28" s="574">
        <f t="shared" si="10"/>
        <v>0.26975715750853801</v>
      </c>
      <c r="BF28" s="574">
        <f t="shared" si="11"/>
        <v>0.2553971029161321</v>
      </c>
      <c r="BG28" s="574">
        <f t="shared" si="12"/>
        <v>0.24151210638936513</v>
      </c>
      <c r="BH28" s="364">
        <f t="shared" si="13"/>
        <v>0.22818745639702495</v>
      </c>
    </row>
    <row r="29" spans="1:66" x14ac:dyDescent="0.2">
      <c r="A29" s="58"/>
      <c r="B29" s="233" t="s">
        <v>657</v>
      </c>
      <c r="C29" s="56"/>
      <c r="D29" s="227">
        <f>SQRT(43560/SUM(Input!H40,Input!J40,Input!L40,Input!N40,Input!P40))</f>
        <v>16.002645283972775</v>
      </c>
      <c r="E29" s="213" t="s">
        <v>270</v>
      </c>
      <c r="F29" s="15" t="s">
        <v>613</v>
      </c>
      <c r="G29" s="236">
        <f t="shared" si="15"/>
        <v>16.002645283972775</v>
      </c>
      <c r="H29" s="58"/>
      <c r="I29" s="253" t="s">
        <v>241</v>
      </c>
      <c r="J29" s="254">
        <f>(EXP(2.8623+0.3817*LN(G28)+0.096*LN(G30)+0.3441*LN(G27)))/100</f>
        <v>1.1268920992509204</v>
      </c>
      <c r="K29" t="s">
        <v>723</v>
      </c>
      <c r="L29" s="231" t="s">
        <v>299</v>
      </c>
      <c r="M29" s="58"/>
      <c r="Q29" s="634">
        <v>13.6</v>
      </c>
      <c r="R29" s="636">
        <v>1.2</v>
      </c>
      <c r="AC29" s="895"/>
      <c r="AD29" s="502">
        <v>25</v>
      </c>
      <c r="AE29" s="361">
        <f t="shared" ref="AE29:AQ29" si="18">(235.5+0.07*(AE25*2.54)^2+59.116*LN($AD$29/100)+6.34*$G$14/3.281+78.082*$G$22)/100</f>
        <v>1.9400058536071176</v>
      </c>
      <c r="AF29" s="4">
        <f t="shared" si="18"/>
        <v>1.9716186936071178</v>
      </c>
      <c r="AG29" s="4">
        <f t="shared" si="18"/>
        <v>2.0122637736071178</v>
      </c>
      <c r="AH29" s="4">
        <f t="shared" si="18"/>
        <v>2.0619410936071181</v>
      </c>
      <c r="AI29" s="4">
        <f t="shared" si="18"/>
        <v>2.1206506536071177</v>
      </c>
      <c r="AJ29" s="4">
        <f t="shared" si="18"/>
        <v>2.1883924536071175</v>
      </c>
      <c r="AK29" s="4">
        <f t="shared" si="18"/>
        <v>2.2651664936071181</v>
      </c>
      <c r="AL29" s="4">
        <f t="shared" si="18"/>
        <v>2.350972773607118</v>
      </c>
      <c r="AM29" s="4">
        <f t="shared" si="18"/>
        <v>2.4458112936071181</v>
      </c>
      <c r="AN29" s="4">
        <f t="shared" si="18"/>
        <v>2.5496820536071176</v>
      </c>
      <c r="AO29" s="4">
        <f t="shared" si="18"/>
        <v>2.6625850536071183</v>
      </c>
      <c r="AP29" s="4">
        <f t="shared" si="18"/>
        <v>2.7845202936071178</v>
      </c>
      <c r="AQ29" s="5">
        <f t="shared" si="18"/>
        <v>2.9154877736071176</v>
      </c>
      <c r="AT29" s="895"/>
      <c r="AU29" s="502">
        <v>30</v>
      </c>
      <c r="AV29" s="573">
        <f t="shared" si="1"/>
        <v>0.46445043654577889</v>
      </c>
      <c r="AW29" s="574">
        <f t="shared" si="2"/>
        <v>0.45418248575746756</v>
      </c>
      <c r="AX29" s="574">
        <f t="shared" si="3"/>
        <v>0.44162950246774463</v>
      </c>
      <c r="AY29" s="574">
        <f t="shared" si="4"/>
        <v>0.42719850123152997</v>
      </c>
      <c r="AZ29" s="574">
        <f t="shared" si="5"/>
        <v>0.41131438869711096</v>
      </c>
      <c r="BA29" s="574">
        <f t="shared" si="6"/>
        <v>0.39439395870192973</v>
      </c>
      <c r="BB29" s="574">
        <f t="shared" si="7"/>
        <v>0.37682543130113522</v>
      </c>
      <c r="BC29" s="574">
        <f t="shared" si="8"/>
        <v>0.35895442148857432</v>
      </c>
      <c r="BD29" s="574">
        <f t="shared" si="9"/>
        <v>0.34107613410536403</v>
      </c>
      <c r="BE29" s="574">
        <f t="shared" si="10"/>
        <v>0.32343285584575915</v>
      </c>
      <c r="BF29" s="574">
        <f t="shared" si="11"/>
        <v>0.30621546851183506</v>
      </c>
      <c r="BG29" s="574">
        <f t="shared" si="12"/>
        <v>0.28956766527451577</v>
      </c>
      <c r="BH29" s="364">
        <f t="shared" si="13"/>
        <v>0.27359170511845821</v>
      </c>
    </row>
    <row r="30" spans="1:66" x14ac:dyDescent="0.2">
      <c r="A30" s="58"/>
      <c r="B30" s="233" t="s">
        <v>729</v>
      </c>
      <c r="C30" s="56"/>
      <c r="D30" s="181">
        <v>15.8</v>
      </c>
      <c r="E30" s="212" t="s">
        <v>719</v>
      </c>
      <c r="F30" s="15" t="s">
        <v>717</v>
      </c>
      <c r="G30" s="236">
        <f t="shared" si="15"/>
        <v>15.8</v>
      </c>
      <c r="H30" s="58"/>
      <c r="I30" s="253" t="s">
        <v>241</v>
      </c>
      <c r="J30" s="254">
        <f>0.2709+0.1415*G27</f>
        <v>0.84792086184597282</v>
      </c>
      <c r="K30" t="s">
        <v>712</v>
      </c>
      <c r="L30" s="20" t="s">
        <v>301</v>
      </c>
      <c r="M30" s="58"/>
      <c r="Q30" s="634">
        <v>4.7</v>
      </c>
      <c r="R30" s="636">
        <v>4.5999999999999996</v>
      </c>
      <c r="AC30" s="895"/>
      <c r="AD30" s="502">
        <v>30</v>
      </c>
      <c r="AE30" s="361">
        <f t="shared" ref="AE30:AQ30" si="19">(235.5+0.07*(AE25*2.54)^2+59.116*LN($AD$30/100)+6.34*$G$14/3.281+78.082*$G$22)/100</f>
        <v>2.0477870651214318</v>
      </c>
      <c r="AF30" s="4">
        <f t="shared" si="19"/>
        <v>2.079399905121432</v>
      </c>
      <c r="AG30" s="4">
        <f t="shared" si="19"/>
        <v>2.120044985121432</v>
      </c>
      <c r="AH30" s="4">
        <f t="shared" si="19"/>
        <v>2.1697223051214318</v>
      </c>
      <c r="AI30" s="4">
        <f t="shared" si="19"/>
        <v>2.2284318651214319</v>
      </c>
      <c r="AJ30" s="4">
        <f t="shared" si="19"/>
        <v>2.2961736651214317</v>
      </c>
      <c r="AK30" s="4">
        <f t="shared" si="19"/>
        <v>2.3729477051214318</v>
      </c>
      <c r="AL30" s="4">
        <f t="shared" si="19"/>
        <v>2.4587539851214317</v>
      </c>
      <c r="AM30" s="4">
        <f t="shared" si="19"/>
        <v>2.5535925051214319</v>
      </c>
      <c r="AN30" s="4">
        <f t="shared" si="19"/>
        <v>2.6574632651214318</v>
      </c>
      <c r="AO30" s="4">
        <f t="shared" si="19"/>
        <v>2.7703662651214325</v>
      </c>
      <c r="AP30" s="4">
        <f t="shared" si="19"/>
        <v>2.892301505121432</v>
      </c>
      <c r="AQ30" s="5">
        <f t="shared" si="19"/>
        <v>3.0232689851214318</v>
      </c>
      <c r="AT30" s="895"/>
      <c r="AU30" s="502">
        <v>35</v>
      </c>
      <c r="AV30" s="573">
        <f t="shared" si="1"/>
        <v>0.5296193330510206</v>
      </c>
      <c r="AW30" s="574">
        <f t="shared" si="2"/>
        <v>0.5179106450610802</v>
      </c>
      <c r="AX30" s="574">
        <f t="shared" si="3"/>
        <v>0.50359630252940213</v>
      </c>
      <c r="AY30" s="574">
        <f t="shared" si="4"/>
        <v>0.48714042984937056</v>
      </c>
      <c r="AZ30" s="574">
        <f t="shared" si="5"/>
        <v>0.46902755401884655</v>
      </c>
      <c r="BA30" s="574">
        <f t="shared" si="6"/>
        <v>0.44973295088394116</v>
      </c>
      <c r="BB30" s="574">
        <f t="shared" si="7"/>
        <v>0.42969931320690935</v>
      </c>
      <c r="BC30" s="574">
        <f t="shared" si="8"/>
        <v>0.40932075060232059</v>
      </c>
      <c r="BD30" s="574">
        <f t="shared" si="9"/>
        <v>0.3889338892820664</v>
      </c>
      <c r="BE30" s="574">
        <f t="shared" si="10"/>
        <v>0.36881501215455059</v>
      </c>
      <c r="BF30" s="574">
        <f t="shared" si="11"/>
        <v>0.34918178441018355</v>
      </c>
      <c r="BG30" s="574">
        <f t="shared" si="12"/>
        <v>0.33019806138284069</v>
      </c>
      <c r="BH30" s="364">
        <f t="shared" si="13"/>
        <v>0.3119804504239006</v>
      </c>
    </row>
    <row r="31" spans="1:66" x14ac:dyDescent="0.2">
      <c r="A31" s="58"/>
      <c r="B31" s="233" t="s">
        <v>728</v>
      </c>
      <c r="C31" s="56"/>
      <c r="D31" s="228">
        <f>G29*(G27-1)</f>
        <v>49.254317073436169</v>
      </c>
      <c r="E31" s="212" t="s">
        <v>303</v>
      </c>
      <c r="F31" s="15" t="s">
        <v>716</v>
      </c>
      <c r="G31" s="236">
        <f>IF(C31="",D31,C31)</f>
        <v>49.254317073436169</v>
      </c>
      <c r="H31" s="58"/>
      <c r="I31" s="253" t="s">
        <v>241</v>
      </c>
      <c r="J31" s="254">
        <f>0.517+0.1079*G27</f>
        <v>0.95700389394473839</v>
      </c>
      <c r="K31" t="s">
        <v>712</v>
      </c>
      <c r="L31" s="20" t="s">
        <v>304</v>
      </c>
      <c r="M31" s="58"/>
      <c r="Q31" s="634">
        <v>7.09</v>
      </c>
      <c r="R31" s="636">
        <v>4.9800000000000004</v>
      </c>
      <c r="AC31" s="895"/>
      <c r="AD31" s="502">
        <v>35</v>
      </c>
      <c r="AE31" s="361">
        <f t="shared" ref="AE31:AQ31" si="20">(235.5+0.07*(AE25*2.54)^2+59.116*LN($AD$31/100)+6.34*$G$14/3.281+78.082*$G$22)/100</f>
        <v>2.1389147810081139</v>
      </c>
      <c r="AF31" s="4">
        <f t="shared" si="20"/>
        <v>2.1705276210081141</v>
      </c>
      <c r="AG31" s="4">
        <f t="shared" si="20"/>
        <v>2.2111727010081141</v>
      </c>
      <c r="AH31" s="4">
        <f t="shared" si="20"/>
        <v>2.2608500210081139</v>
      </c>
      <c r="AI31" s="4">
        <f t="shared" si="20"/>
        <v>2.319559581008114</v>
      </c>
      <c r="AJ31" s="4">
        <f t="shared" si="20"/>
        <v>2.3873013810081138</v>
      </c>
      <c r="AK31" s="4">
        <f t="shared" si="20"/>
        <v>2.4640754210081139</v>
      </c>
      <c r="AL31" s="4">
        <f t="shared" si="20"/>
        <v>2.5498817010081138</v>
      </c>
      <c r="AM31" s="4">
        <f t="shared" si="20"/>
        <v>2.644720221008114</v>
      </c>
      <c r="AN31" s="4">
        <f t="shared" si="20"/>
        <v>2.7485909810081135</v>
      </c>
      <c r="AO31" s="4">
        <f t="shared" si="20"/>
        <v>2.8614939810081141</v>
      </c>
      <c r="AP31" s="4">
        <f t="shared" si="20"/>
        <v>2.9834292210081141</v>
      </c>
      <c r="AQ31" s="5">
        <f t="shared" si="20"/>
        <v>3.1143967010081139</v>
      </c>
      <c r="AT31" s="895"/>
      <c r="AU31" s="502">
        <v>40</v>
      </c>
      <c r="AV31" s="573">
        <f t="shared" si="1"/>
        <v>0.58607119895196824</v>
      </c>
      <c r="AW31" s="574">
        <f t="shared" si="2"/>
        <v>0.57311448763086215</v>
      </c>
      <c r="AX31" s="574">
        <f t="shared" si="3"/>
        <v>0.55727438632371895</v>
      </c>
      <c r="AY31" s="574">
        <f t="shared" si="4"/>
        <v>0.53906449021621072</v>
      </c>
      <c r="AZ31" s="574">
        <f t="shared" si="5"/>
        <v>0.51902097180212581</v>
      </c>
      <c r="BA31" s="574">
        <f t="shared" si="6"/>
        <v>0.49766976634776022</v>
      </c>
      <c r="BB31" s="574">
        <f t="shared" si="7"/>
        <v>0.47550075302056716</v>
      </c>
      <c r="BC31" s="574">
        <f t="shared" si="8"/>
        <v>0.45295004938634287</v>
      </c>
      <c r="BD31" s="574">
        <f t="shared" si="9"/>
        <v>0.43039016248040574</v>
      </c>
      <c r="BE31" s="574">
        <f t="shared" si="10"/>
        <v>0.4081268240713552</v>
      </c>
      <c r="BF31" s="574">
        <f t="shared" si="11"/>
        <v>0.3864009001758808</v>
      </c>
      <c r="BG31" s="574">
        <f t="shared" si="12"/>
        <v>0.36539371138782495</v>
      </c>
      <c r="BH31" s="364">
        <f t="shared" si="13"/>
        <v>0.34523429417916729</v>
      </c>
    </row>
    <row r="32" spans="1:66" x14ac:dyDescent="0.2">
      <c r="A32" s="58"/>
      <c r="B32" s="232" t="s">
        <v>783</v>
      </c>
      <c r="C32" s="56"/>
      <c r="D32" s="178">
        <f>'Tree volume estimation'!E9</f>
        <v>6.3768371546149325</v>
      </c>
      <c r="E32" s="178" t="s">
        <v>659</v>
      </c>
      <c r="F32" s="15" t="s">
        <v>714</v>
      </c>
      <c r="G32" s="236">
        <f>IF(C32="",D32,C32)</f>
        <v>6.3768371546149325</v>
      </c>
      <c r="H32" s="58"/>
      <c r="I32" s="253" t="s">
        <v>241</v>
      </c>
      <c r="J32" s="254">
        <f>0.3864+0.0644*G27+0.206*G29/3.281</f>
        <v>1.6537537181426281</v>
      </c>
      <c r="K32" t="s">
        <v>712</v>
      </c>
      <c r="L32" s="230" t="s">
        <v>306</v>
      </c>
      <c r="M32" s="58"/>
      <c r="Q32" s="634">
        <v>3.94</v>
      </c>
      <c r="R32" s="636">
        <v>5.3</v>
      </c>
      <c r="AC32" s="895"/>
      <c r="AD32" s="502">
        <v>40</v>
      </c>
      <c r="AE32" s="361">
        <f t="shared" ref="AE32:AQ32" si="21">(235.5+0.07*(AE25*2.54)^2+59.116*LN($AD$32/100)+6.34*$G$14/3.281+78.082*$G$22)/100</f>
        <v>2.2178531990720267</v>
      </c>
      <c r="AF32" s="4">
        <f t="shared" si="21"/>
        <v>2.2494660390720269</v>
      </c>
      <c r="AG32" s="4">
        <f t="shared" si="21"/>
        <v>2.2901111190720269</v>
      </c>
      <c r="AH32" s="4">
        <f t="shared" si="21"/>
        <v>2.3397884390720272</v>
      </c>
      <c r="AI32" s="4">
        <f t="shared" si="21"/>
        <v>2.3984979990720268</v>
      </c>
      <c r="AJ32" s="4">
        <f t="shared" si="21"/>
        <v>2.4662397990720266</v>
      </c>
      <c r="AK32" s="4">
        <f t="shared" si="21"/>
        <v>2.5430138390720272</v>
      </c>
      <c r="AL32" s="4">
        <f t="shared" si="21"/>
        <v>2.6288201190720271</v>
      </c>
      <c r="AM32" s="4">
        <f t="shared" si="21"/>
        <v>2.7236586390720272</v>
      </c>
      <c r="AN32" s="4">
        <f t="shared" si="21"/>
        <v>2.8275293990720267</v>
      </c>
      <c r="AO32" s="4">
        <f t="shared" si="21"/>
        <v>2.9404323990720269</v>
      </c>
      <c r="AP32" s="4">
        <f t="shared" si="21"/>
        <v>3.0623676390720265</v>
      </c>
      <c r="AQ32" s="5">
        <f t="shared" si="21"/>
        <v>3.1933351190720263</v>
      </c>
      <c r="AT32" s="895"/>
      <c r="AU32" s="502">
        <v>45</v>
      </c>
      <c r="AV32" s="573">
        <f t="shared" si="1"/>
        <v>0.63586527361557388</v>
      </c>
      <c r="AW32" s="574">
        <f t="shared" si="2"/>
        <v>0.62180772769950432</v>
      </c>
      <c r="AX32" s="574">
        <f t="shared" si="3"/>
        <v>0.60462181177362961</v>
      </c>
      <c r="AY32" s="574">
        <f t="shared" si="4"/>
        <v>0.58486475735495502</v>
      </c>
      <c r="AZ32" s="574">
        <f t="shared" si="5"/>
        <v>0.56311829149315895</v>
      </c>
      <c r="BA32" s="574">
        <f t="shared" si="6"/>
        <v>0.53995303422997953</v>
      </c>
      <c r="BB32" s="574">
        <f t="shared" si="7"/>
        <v>0.51590048609198724</v>
      </c>
      <c r="BC32" s="574">
        <f t="shared" si="8"/>
        <v>0.49143381828397759</v>
      </c>
      <c r="BD32" s="574">
        <f t="shared" si="9"/>
        <v>0.46695718697052557</v>
      </c>
      <c r="BE32" s="574">
        <f t="shared" si="10"/>
        <v>0.44280229965584095</v>
      </c>
      <c r="BF32" s="574">
        <f t="shared" si="11"/>
        <v>0.41923048693572978</v>
      </c>
      <c r="BG32" s="574">
        <f t="shared" si="12"/>
        <v>0.39643847485511924</v>
      </c>
      <c r="BH32" s="364">
        <f t="shared" si="13"/>
        <v>0.37456626314733288</v>
      </c>
    </row>
    <row r="33" spans="1:60" x14ac:dyDescent="0.2">
      <c r="A33" s="58"/>
      <c r="B33" s="232" t="s">
        <v>266</v>
      </c>
      <c r="C33" s="56"/>
      <c r="D33" s="178">
        <f>Input!C6</f>
        <v>21</v>
      </c>
      <c r="E33" s="178" t="s">
        <v>659</v>
      </c>
      <c r="F33" s="15" t="s">
        <v>715</v>
      </c>
      <c r="G33" s="251">
        <f>IF(C33="",D33,C33)</f>
        <v>21</v>
      </c>
      <c r="H33" s="58"/>
      <c r="I33" s="253" t="s">
        <v>241</v>
      </c>
      <c r="J33" s="254">
        <f>(15.36+12.58*G27+0.76*G32)/100</f>
        <v>0.71506201481481479</v>
      </c>
      <c r="K33" t="s">
        <v>308</v>
      </c>
      <c r="L33" s="20" t="s">
        <v>309</v>
      </c>
      <c r="M33" s="58"/>
      <c r="Q33" s="634">
        <v>4.33</v>
      </c>
      <c r="R33" s="636">
        <v>4.75</v>
      </c>
      <c r="AC33" s="895"/>
      <c r="AD33" s="502">
        <v>45</v>
      </c>
      <c r="AE33" s="361">
        <f t="shared" ref="AE33:AQ33" si="22">(235.5+0.07*(AE25*2.54)^2+59.116*LN($AD$33/100)+6.34*$G$14/3.281+78.082*$G$22)/100</f>
        <v>2.2874818184306545</v>
      </c>
      <c r="AF33" s="4">
        <f t="shared" si="22"/>
        <v>2.3190946584306547</v>
      </c>
      <c r="AG33" s="4">
        <f t="shared" si="22"/>
        <v>2.3597397384306542</v>
      </c>
      <c r="AH33" s="4">
        <f t="shared" si="22"/>
        <v>2.4094170584306545</v>
      </c>
      <c r="AI33" s="4">
        <f t="shared" si="22"/>
        <v>2.4681266184306541</v>
      </c>
      <c r="AJ33" s="4">
        <f t="shared" si="22"/>
        <v>2.5358684184306544</v>
      </c>
      <c r="AK33" s="4">
        <f t="shared" si="22"/>
        <v>2.6126424584306545</v>
      </c>
      <c r="AL33" s="4">
        <f t="shared" si="22"/>
        <v>2.6984487384306544</v>
      </c>
      <c r="AM33" s="4">
        <f t="shared" si="22"/>
        <v>2.7932872584306545</v>
      </c>
      <c r="AN33" s="4">
        <f t="shared" si="22"/>
        <v>2.8971580184306545</v>
      </c>
      <c r="AO33" s="4">
        <f t="shared" si="22"/>
        <v>3.0100610184306551</v>
      </c>
      <c r="AP33" s="4">
        <f t="shared" si="22"/>
        <v>3.1319962584306547</v>
      </c>
      <c r="AQ33" s="5">
        <f t="shared" si="22"/>
        <v>3.2629637384306545</v>
      </c>
      <c r="AT33" s="895"/>
      <c r="AU33" s="502">
        <v>50</v>
      </c>
      <c r="AV33" s="573">
        <f t="shared" si="1"/>
        <v>0.68040759122544792</v>
      </c>
      <c r="AW33" s="574">
        <f t="shared" si="2"/>
        <v>0.66536531520853737</v>
      </c>
      <c r="AX33" s="574">
        <f t="shared" si="3"/>
        <v>0.64697552708307826</v>
      </c>
      <c r="AY33" s="574">
        <f t="shared" si="4"/>
        <v>0.62583449239457656</v>
      </c>
      <c r="AZ33" s="574">
        <f t="shared" si="5"/>
        <v>0.60256468813154862</v>
      </c>
      <c r="BA33" s="574">
        <f t="shared" si="6"/>
        <v>0.57777670622944699</v>
      </c>
      <c r="BB33" s="574">
        <f t="shared" si="7"/>
        <v>0.55203927878927572</v>
      </c>
      <c r="BC33" s="574">
        <f t="shared" si="8"/>
        <v>0.5258587226253838</v>
      </c>
      <c r="BD33" s="574">
        <f t="shared" si="9"/>
        <v>0.49966750501319529</v>
      </c>
      <c r="BE33" s="574">
        <f t="shared" si="10"/>
        <v>0.47382056954421586</v>
      </c>
      <c r="BF33" s="574">
        <f t="shared" si="11"/>
        <v>0.44859755300407234</v>
      </c>
      <c r="BG33" s="574">
        <f t="shared" si="12"/>
        <v>0.42420896208327791</v>
      </c>
      <c r="BH33" s="364">
        <f t="shared" si="13"/>
        <v>0.40080460348660868</v>
      </c>
    </row>
    <row r="34" spans="1:60" x14ac:dyDescent="0.2">
      <c r="A34" s="58"/>
      <c r="B34" s="942" t="s">
        <v>275</v>
      </c>
      <c r="C34" s="943"/>
      <c r="D34" s="943"/>
      <c r="E34" s="943"/>
      <c r="F34" s="943"/>
      <c r="G34" s="944"/>
      <c r="H34" s="58"/>
      <c r="I34" s="253" t="s">
        <v>241</v>
      </c>
      <c r="J34" s="254">
        <f>0.191+0.017*(G28+G30+G31)+0.184*G27+0.269*G35+0.181*G36</f>
        <v>2.8117544049456522</v>
      </c>
      <c r="K34" t="s">
        <v>310</v>
      </c>
      <c r="L34" s="230" t="s">
        <v>311</v>
      </c>
      <c r="M34" s="58"/>
      <c r="Q34" s="634">
        <v>10.63</v>
      </c>
      <c r="R34" s="636">
        <v>2.2599999999999998</v>
      </c>
      <c r="AC34" s="895"/>
      <c r="AD34" s="502">
        <v>50</v>
      </c>
      <c r="AE34" s="361">
        <f t="shared" ref="AE34:AQ34" si="23">(235.5+0.07*(AE25*2.54)^2+59.116*LN($AD$34/100)+6.34*$G$14/3.281+78.082*$G$22)/100</f>
        <v>2.3497667408669347</v>
      </c>
      <c r="AF34" s="4">
        <f t="shared" si="23"/>
        <v>2.3813795808669354</v>
      </c>
      <c r="AG34" s="4">
        <f t="shared" si="23"/>
        <v>2.4220246608669349</v>
      </c>
      <c r="AH34" s="4">
        <f t="shared" si="23"/>
        <v>2.4717019808669352</v>
      </c>
      <c r="AI34" s="4">
        <f t="shared" si="23"/>
        <v>2.5304115408669348</v>
      </c>
      <c r="AJ34" s="4">
        <f t="shared" si="23"/>
        <v>2.5981533408669351</v>
      </c>
      <c r="AK34" s="4">
        <f t="shared" si="23"/>
        <v>2.6749273808669352</v>
      </c>
      <c r="AL34" s="4">
        <f t="shared" si="23"/>
        <v>2.7607336608669351</v>
      </c>
      <c r="AM34" s="4">
        <f t="shared" si="23"/>
        <v>2.8555721808669352</v>
      </c>
      <c r="AN34" s="4">
        <f t="shared" si="23"/>
        <v>2.9594429408669352</v>
      </c>
      <c r="AO34" s="4">
        <f t="shared" si="23"/>
        <v>3.0723459408669349</v>
      </c>
      <c r="AP34" s="4">
        <f t="shared" si="23"/>
        <v>3.1942811808669354</v>
      </c>
      <c r="AQ34" s="5">
        <f t="shared" si="23"/>
        <v>3.3252486608669347</v>
      </c>
      <c r="AT34" s="896"/>
      <c r="AU34" s="503">
        <v>55</v>
      </c>
      <c r="AV34" s="575">
        <f t="shared" si="1"/>
        <v>0.72070101873757042</v>
      </c>
      <c r="AW34" s="576">
        <f t="shared" si="2"/>
        <v>0.70476794598922821</v>
      </c>
      <c r="AX34" s="576">
        <f t="shared" si="3"/>
        <v>0.68528912299062528</v>
      </c>
      <c r="AY34" s="576">
        <f t="shared" si="4"/>
        <v>0.6628961258611723</v>
      </c>
      <c r="AZ34" s="576">
        <f t="shared" si="5"/>
        <v>0.63824829439300268</v>
      </c>
      <c r="BA34" s="576">
        <f t="shared" si="6"/>
        <v>0.61199237949775875</v>
      </c>
      <c r="BB34" s="576">
        <f t="shared" si="7"/>
        <v>0.58473079333231348</v>
      </c>
      <c r="BC34" s="576">
        <f t="shared" si="8"/>
        <v>0.55699983656204843</v>
      </c>
      <c r="BD34" s="576">
        <f t="shared" si="9"/>
        <v>0.52925758697737679</v>
      </c>
      <c r="BE34" s="576">
        <f t="shared" si="10"/>
        <v>0.50188000776755626</v>
      </c>
      <c r="BF34" s="576">
        <f t="shared" si="11"/>
        <v>0.47516329568123783</v>
      </c>
      <c r="BG34" s="576">
        <f t="shared" si="12"/>
        <v>0.44933042351922409</v>
      </c>
      <c r="BH34" s="577">
        <f t="shared" si="13"/>
        <v>0.42454006947108752</v>
      </c>
    </row>
    <row r="35" spans="1:60" ht="16" thickBot="1" x14ac:dyDescent="0.25">
      <c r="A35" s="58"/>
      <c r="B35" s="332" t="s">
        <v>312</v>
      </c>
      <c r="C35" s="15"/>
      <c r="D35" s="212">
        <v>1</v>
      </c>
      <c r="E35" s="212" t="s">
        <v>313</v>
      </c>
      <c r="F35" s="15" t="s">
        <v>716</v>
      </c>
      <c r="G35" s="330">
        <f>IF(C35="",D35,C35)</f>
        <v>1</v>
      </c>
      <c r="H35" s="58"/>
      <c r="I35" s="11"/>
      <c r="L35" s="12"/>
      <c r="M35" s="58"/>
      <c r="Q35" s="635">
        <v>5.9</v>
      </c>
      <c r="R35" s="637">
        <v>1.98</v>
      </c>
      <c r="AC35" s="896"/>
      <c r="AD35" s="503">
        <v>55</v>
      </c>
      <c r="AE35" s="500">
        <f t="shared" ref="AE35:AQ35" si="24">(235.5+0.07*(AE25*2.54)^2+59.116*LN($AD$35/100)+6.34*$G$14/3.281+78.082*$G$22)/100</f>
        <v>2.4061103067600595</v>
      </c>
      <c r="AF35" s="488">
        <f t="shared" si="24"/>
        <v>2.4377231467600597</v>
      </c>
      <c r="AG35" s="488">
        <f t="shared" si="24"/>
        <v>2.4783682267600597</v>
      </c>
      <c r="AH35" s="488">
        <f t="shared" si="24"/>
        <v>2.52804554676006</v>
      </c>
      <c r="AI35" s="488">
        <f t="shared" si="24"/>
        <v>2.5867551067600596</v>
      </c>
      <c r="AJ35" s="488">
        <f t="shared" si="24"/>
        <v>2.6544969067600594</v>
      </c>
      <c r="AK35" s="488">
        <f t="shared" si="24"/>
        <v>2.73127094676006</v>
      </c>
      <c r="AL35" s="488">
        <f t="shared" si="24"/>
        <v>2.8170772267600599</v>
      </c>
      <c r="AM35" s="488">
        <f t="shared" si="24"/>
        <v>2.91191574676006</v>
      </c>
      <c r="AN35" s="488">
        <f t="shared" si="24"/>
        <v>3.0157865067600595</v>
      </c>
      <c r="AO35" s="488">
        <f t="shared" si="24"/>
        <v>3.1286895067600602</v>
      </c>
      <c r="AP35" s="488">
        <f t="shared" si="24"/>
        <v>3.2506247467600597</v>
      </c>
      <c r="AQ35" s="487">
        <f t="shared" si="24"/>
        <v>3.38159222676006</v>
      </c>
      <c r="AT35" s="638"/>
    </row>
    <row r="36" spans="1:60" ht="16" thickBot="1" x14ac:dyDescent="0.25">
      <c r="A36" s="58"/>
      <c r="B36" s="463" t="s">
        <v>314</v>
      </c>
      <c r="C36" s="214"/>
      <c r="D36" s="444">
        <v>1</v>
      </c>
      <c r="E36" s="444" t="s">
        <v>724</v>
      </c>
      <c r="F36" s="214" t="s">
        <v>716</v>
      </c>
      <c r="G36" s="465">
        <f>IF(C36="",D36,C36)</f>
        <v>1</v>
      </c>
      <c r="H36" s="58"/>
      <c r="I36" s="466"/>
      <c r="J36" s="467"/>
      <c r="K36" s="1"/>
      <c r="L36" s="534"/>
      <c r="M36" s="58"/>
    </row>
    <row r="37" spans="1:60" ht="16" thickBot="1" x14ac:dyDescent="0.25">
      <c r="A37" s="58"/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AV37" s="4"/>
    </row>
    <row r="38" spans="1:60" s="286" customFormat="1" ht="24" x14ac:dyDescent="0.3">
      <c r="A38" s="462"/>
      <c r="B38" s="939" t="s">
        <v>146</v>
      </c>
      <c r="C38" s="940"/>
      <c r="D38" s="940"/>
      <c r="E38" s="940"/>
      <c r="F38" s="940"/>
      <c r="G38" s="941"/>
      <c r="H38" s="58"/>
      <c r="I38" s="939" t="s">
        <v>146</v>
      </c>
      <c r="J38" s="940"/>
      <c r="K38" s="940"/>
      <c r="L38" s="941"/>
      <c r="M38" s="58"/>
      <c r="N38"/>
      <c r="AD38" s="897" t="s">
        <v>822</v>
      </c>
      <c r="AE38" s="898"/>
      <c r="AF38" s="898"/>
      <c r="AG38" s="898"/>
      <c r="AH38" s="898"/>
      <c r="AI38" s="898"/>
      <c r="AJ38" s="898"/>
      <c r="AK38" s="898"/>
      <c r="AL38" s="898"/>
      <c r="AM38" s="898"/>
      <c r="AN38" s="898"/>
      <c r="AO38" s="898"/>
      <c r="AP38" s="898"/>
      <c r="AQ38" s="899"/>
      <c r="AU38"/>
      <c r="AV38"/>
      <c r="AW38"/>
      <c r="AX38"/>
      <c r="AY38"/>
      <c r="AZ38"/>
      <c r="BA38"/>
      <c r="BB38"/>
      <c r="BC38"/>
      <c r="BD38"/>
      <c r="BE38"/>
    </row>
    <row r="39" spans="1:60" ht="16" x14ac:dyDescent="0.2">
      <c r="A39" s="58"/>
      <c r="B39" s="328" t="s">
        <v>259</v>
      </c>
      <c r="C39" s="219" t="s">
        <v>166</v>
      </c>
      <c r="D39" s="222" t="s">
        <v>260</v>
      </c>
      <c r="E39" s="219" t="s">
        <v>261</v>
      </c>
      <c r="F39" s="222" t="s">
        <v>262</v>
      </c>
      <c r="G39" s="250" t="s">
        <v>263</v>
      </c>
      <c r="H39" s="58"/>
      <c r="I39" s="241" t="s">
        <v>130</v>
      </c>
      <c r="J39" s="220" t="s">
        <v>264</v>
      </c>
      <c r="K39" s="222" t="s">
        <v>688</v>
      </c>
      <c r="L39" s="250" t="s">
        <v>265</v>
      </c>
      <c r="M39" s="58"/>
      <c r="AD39" s="486" t="s">
        <v>315</v>
      </c>
      <c r="AE39" s="413">
        <f t="shared" ref="AE39:AM39" si="25">10^(-2.729937+1.909478*LOG(AE$40)+1.085681*LOG(3.281*(1.3+EXP(4.5503-11.4582*(AE$40*2.54)^-0.5994))))</f>
        <v>0.2810897597798081</v>
      </c>
      <c r="AF39" s="413">
        <f t="shared" si="25"/>
        <v>0.75891865913065892</v>
      </c>
      <c r="AG39" s="413">
        <f t="shared" si="25"/>
        <v>1.605639773260751</v>
      </c>
      <c r="AH39" s="413">
        <f t="shared" si="25"/>
        <v>2.904891976131911</v>
      </c>
      <c r="AI39" s="413">
        <f t="shared" si="25"/>
        <v>4.7247893860334047</v>
      </c>
      <c r="AJ39" s="413">
        <f t="shared" si="25"/>
        <v>7.1211785431759846</v>
      </c>
      <c r="AK39" s="413">
        <f t="shared" si="25"/>
        <v>10.140341789838434</v>
      </c>
      <c r="AL39" s="413">
        <f t="shared" si="25"/>
        <v>13.821070161007301</v>
      </c>
      <c r="AM39" s="413">
        <f t="shared" si="25"/>
        <v>18.19622534862107</v>
      </c>
      <c r="AN39" s="413">
        <f t="shared" ref="AN39:AQ39" si="26">10^(-2.729937+1.909478*LOG(AN$40)+1.085681*LOG(3.281*(1.3+EXP(4.5503-11.4582*(AN$40*2.54)^-0.5994))))</f>
        <v>23.293919239463623</v>
      </c>
      <c r="AO39" s="413">
        <f t="shared" si="26"/>
        <v>29.138412910465227</v>
      </c>
      <c r="AP39" s="413">
        <f t="shared" si="26"/>
        <v>35.750809824420472</v>
      </c>
      <c r="AQ39" s="504">
        <f t="shared" si="26"/>
        <v>43.149596874719172</v>
      </c>
      <c r="AU39" s="897" t="s">
        <v>824</v>
      </c>
      <c r="AV39" s="898"/>
      <c r="AW39" s="898"/>
      <c r="AX39" s="898"/>
      <c r="AY39" s="898"/>
      <c r="AZ39" s="898"/>
      <c r="BA39" s="898"/>
      <c r="BB39" s="898"/>
      <c r="BC39" s="898"/>
      <c r="BD39" s="898"/>
      <c r="BE39" s="898"/>
      <c r="BF39" s="898"/>
      <c r="BG39" s="898"/>
      <c r="BH39" s="899"/>
    </row>
    <row r="40" spans="1:60" ht="24" x14ac:dyDescent="0.3">
      <c r="A40" s="58"/>
      <c r="B40" s="233" t="s">
        <v>727</v>
      </c>
      <c r="C40" s="56"/>
      <c r="D40" s="212">
        <v>1</v>
      </c>
      <c r="E40" s="212" t="s">
        <v>719</v>
      </c>
      <c r="F40" s="15" t="s">
        <v>716</v>
      </c>
      <c r="G40" s="251">
        <v>1</v>
      </c>
      <c r="H40" s="58"/>
      <c r="I40" s="253" t="s">
        <v>243</v>
      </c>
      <c r="J40" s="254">
        <f>-0.2274+0.1442*G40+0.0347*G42/3.281+0.0228*G43*2.54+0.1883*G41</f>
        <v>0.72180519040353874</v>
      </c>
      <c r="K40" t="s">
        <v>712</v>
      </c>
      <c r="L40" s="231" t="s">
        <v>316</v>
      </c>
      <c r="M40" s="58"/>
      <c r="AD40" s="501" t="s">
        <v>287</v>
      </c>
      <c r="AE40" s="497">
        <v>3</v>
      </c>
      <c r="AF40" s="498">
        <v>4</v>
      </c>
      <c r="AG40" s="498">
        <v>5</v>
      </c>
      <c r="AH40" s="498">
        <v>6</v>
      </c>
      <c r="AI40" s="498">
        <v>7</v>
      </c>
      <c r="AJ40" s="498">
        <v>8</v>
      </c>
      <c r="AK40" s="498">
        <v>9</v>
      </c>
      <c r="AL40" s="498">
        <v>10</v>
      </c>
      <c r="AM40" s="498">
        <v>11</v>
      </c>
      <c r="AN40" s="498">
        <v>12</v>
      </c>
      <c r="AO40" s="498">
        <v>13</v>
      </c>
      <c r="AP40" s="498">
        <v>14</v>
      </c>
      <c r="AQ40" s="499">
        <v>15</v>
      </c>
      <c r="AU40" s="501" t="s">
        <v>287</v>
      </c>
      <c r="AV40" s="497">
        <v>3</v>
      </c>
      <c r="AW40" s="498">
        <v>4</v>
      </c>
      <c r="AX40" s="498">
        <v>5</v>
      </c>
      <c r="AY40" s="498">
        <v>6</v>
      </c>
      <c r="AZ40" s="498">
        <v>7</v>
      </c>
      <c r="BA40" s="498">
        <v>8</v>
      </c>
      <c r="BB40" s="498">
        <v>9</v>
      </c>
      <c r="BC40" s="498">
        <v>10</v>
      </c>
      <c r="BD40" s="498">
        <v>11</v>
      </c>
      <c r="BE40" s="498">
        <v>12</v>
      </c>
      <c r="BF40" s="498">
        <v>13</v>
      </c>
      <c r="BG40" s="498">
        <v>14</v>
      </c>
      <c r="BH40" s="499">
        <v>15</v>
      </c>
    </row>
    <row r="41" spans="1:60" x14ac:dyDescent="0.2">
      <c r="A41" s="58"/>
      <c r="B41" s="232" t="s">
        <v>726</v>
      </c>
      <c r="C41" s="56"/>
      <c r="D41" s="178">
        <f>-0.01408+0.224122*(G43)</f>
        <v>1.4151094967666078</v>
      </c>
      <c r="E41" s="569" t="s">
        <v>317</v>
      </c>
      <c r="F41" s="15" t="s">
        <v>283</v>
      </c>
      <c r="G41" s="236">
        <f>IF(C41="",D41,C41)</f>
        <v>1.4151094967666078</v>
      </c>
      <c r="H41" s="58"/>
      <c r="I41" s="253" t="s">
        <v>243</v>
      </c>
      <c r="J41" s="254">
        <f>(1/(0.46278-0.0050899*(G42)-0.0012159*('Tree volume estimation'!E10)-0.0035958*(Felling!G41-1))^5)/100</f>
        <v>1.5520616627576047</v>
      </c>
      <c r="K41" t="s">
        <v>318</v>
      </c>
      <c r="L41" s="20" t="s">
        <v>319</v>
      </c>
      <c r="M41" s="58"/>
      <c r="AC41" s="894" t="s">
        <v>288</v>
      </c>
      <c r="AD41" s="512">
        <v>0</v>
      </c>
      <c r="AE41" s="361">
        <f t="shared" ref="AE41:AQ52" si="27">1.3286+0.0187*$G$14+0.0143*$AD41+0.09868*AE$39+0.3541*$G$18+0.9019*$G$21</f>
        <v>1.6555874043053624</v>
      </c>
      <c r="AF41" s="4">
        <f t="shared" si="27"/>
        <v>1.7027395600933044</v>
      </c>
      <c r="AG41" s="4">
        <f t="shared" si="27"/>
        <v>1.7862939996356619</v>
      </c>
      <c r="AH41" s="4">
        <f t="shared" si="27"/>
        <v>1.914504207014988</v>
      </c>
      <c r="AI41" s="4">
        <f t="shared" si="27"/>
        <v>2.0940916834240673</v>
      </c>
      <c r="AJ41" s="4">
        <f t="shared" si="27"/>
        <v>2.3305673654508974</v>
      </c>
      <c r="AK41" s="4">
        <f t="shared" si="27"/>
        <v>2.6284983946315474</v>
      </c>
      <c r="AL41" s="4">
        <f t="shared" si="27"/>
        <v>2.9917126702984915</v>
      </c>
      <c r="AM41" s="4">
        <f t="shared" si="27"/>
        <v>3.4234529842122181</v>
      </c>
      <c r="AN41" s="4">
        <f t="shared" si="27"/>
        <v>3.926493417360561</v>
      </c>
      <c r="AO41" s="4">
        <f t="shared" si="27"/>
        <v>4.5032280528149995</v>
      </c>
      <c r="AP41" s="4">
        <f t="shared" si="27"/>
        <v>5.1557393802841034</v>
      </c>
      <c r="AQ41" s="5">
        <f t="shared" si="27"/>
        <v>5.8858516864075794</v>
      </c>
      <c r="AT41" s="894" t="s">
        <v>288</v>
      </c>
      <c r="AU41" s="110">
        <v>0</v>
      </c>
      <c r="AV41" s="573">
        <f t="shared" ref="AV41:AV52" si="28">(AE41-AE$41)/AE$41</f>
        <v>0</v>
      </c>
      <c r="AW41" s="574">
        <f t="shared" ref="AW41:AW52" si="29">(AF41-AF$41)/AF$41</f>
        <v>0</v>
      </c>
      <c r="AX41" s="574">
        <f t="shared" ref="AX41:AX52" si="30">(AG41-AG$41)/AG$41</f>
        <v>0</v>
      </c>
      <c r="AY41" s="574">
        <f t="shared" ref="AY41:AY52" si="31">(AH41-AH$41)/AH$41</f>
        <v>0</v>
      </c>
      <c r="AZ41" s="574">
        <f t="shared" ref="AZ41:AZ52" si="32">(AI41-AI$41)/AI$41</f>
        <v>0</v>
      </c>
      <c r="BA41" s="574">
        <f t="shared" ref="BA41:BA52" si="33">(AJ41-AJ$41)/AJ$41</f>
        <v>0</v>
      </c>
      <c r="BB41" s="574">
        <f t="shared" ref="BB41:BB52" si="34">(AK41-AK$41)/AK$41</f>
        <v>0</v>
      </c>
      <c r="BC41" s="574">
        <f t="shared" ref="BC41:BC52" si="35">(AL41-AL$41)/AL$41</f>
        <v>0</v>
      </c>
      <c r="BD41" s="574">
        <f t="shared" ref="BD41:BD52" si="36">(AM41-AM$41)/AM$41</f>
        <v>0</v>
      </c>
      <c r="BE41" s="574">
        <f t="shared" ref="BE41:BH52" si="37">(AN41-AN$41)/AN$41</f>
        <v>0</v>
      </c>
      <c r="BF41" s="574">
        <f t="shared" si="37"/>
        <v>0</v>
      </c>
      <c r="BG41" s="574">
        <f t="shared" si="37"/>
        <v>0</v>
      </c>
      <c r="BH41" s="364">
        <f t="shared" si="37"/>
        <v>0</v>
      </c>
    </row>
    <row r="42" spans="1:60" x14ac:dyDescent="0.2">
      <c r="A42" s="58"/>
      <c r="B42" s="233" t="s">
        <v>657</v>
      </c>
      <c r="C42" s="56"/>
      <c r="D42" s="227">
        <f>SQRT(43560/'Tree volume estimation'!E4)</f>
        <v>16.002645283972775</v>
      </c>
      <c r="E42" s="213" t="s">
        <v>270</v>
      </c>
      <c r="F42" s="15" t="s">
        <v>271</v>
      </c>
      <c r="G42" s="236">
        <f>IF(C42="",D42,C42)</f>
        <v>16.002645283972775</v>
      </c>
      <c r="H42" s="58"/>
      <c r="I42" s="253" t="s">
        <v>243</v>
      </c>
      <c r="J42" s="254">
        <f>(1/(0.42017-0.0029174*(G42)-0.002285*('Tree volume estimation'!E10)-0.0077407*G41-0.0076267*(Felling!G41-1))^4)/100</f>
        <v>0.83575650107135746</v>
      </c>
      <c r="K42" t="s">
        <v>318</v>
      </c>
      <c r="L42" s="20" t="s">
        <v>320</v>
      </c>
      <c r="M42" s="58"/>
      <c r="AC42" s="895"/>
      <c r="AD42" s="502">
        <v>5</v>
      </c>
      <c r="AE42" s="361">
        <f t="shared" si="27"/>
        <v>1.7270874043053626</v>
      </c>
      <c r="AF42" s="4">
        <f t="shared" si="27"/>
        <v>1.7742395600933045</v>
      </c>
      <c r="AG42" s="4">
        <f t="shared" si="27"/>
        <v>1.8577939996356621</v>
      </c>
      <c r="AH42" s="4">
        <f t="shared" si="27"/>
        <v>1.9860042070149881</v>
      </c>
      <c r="AI42" s="4">
        <f t="shared" si="27"/>
        <v>2.1655916834240676</v>
      </c>
      <c r="AJ42" s="4">
        <f t="shared" si="27"/>
        <v>2.4020673654508973</v>
      </c>
      <c r="AK42" s="4">
        <f t="shared" si="27"/>
        <v>2.6999983946315478</v>
      </c>
      <c r="AL42" s="4">
        <f t="shared" si="27"/>
        <v>3.0632126702984914</v>
      </c>
      <c r="AM42" s="4">
        <f t="shared" si="27"/>
        <v>3.494952984212218</v>
      </c>
      <c r="AN42" s="4">
        <f t="shared" si="27"/>
        <v>3.9979934173605614</v>
      </c>
      <c r="AO42" s="4">
        <f t="shared" si="27"/>
        <v>4.5747280528149998</v>
      </c>
      <c r="AP42" s="4">
        <f t="shared" si="27"/>
        <v>5.2272393802841037</v>
      </c>
      <c r="AQ42" s="5">
        <f t="shared" si="27"/>
        <v>5.9573516864075788</v>
      </c>
      <c r="AT42" s="895"/>
      <c r="AU42" s="110">
        <v>5</v>
      </c>
      <c r="AV42" s="573">
        <f t="shared" si="28"/>
        <v>4.3187088651474428E-2</v>
      </c>
      <c r="AW42" s="574">
        <f t="shared" si="29"/>
        <v>4.1991154534567907E-2</v>
      </c>
      <c r="AX42" s="574">
        <f t="shared" si="30"/>
        <v>4.0027005641055435E-2</v>
      </c>
      <c r="AY42" s="574">
        <f t="shared" si="31"/>
        <v>3.734648361597482E-2</v>
      </c>
      <c r="AZ42" s="574">
        <f t="shared" si="32"/>
        <v>3.4143681752792254E-2</v>
      </c>
      <c r="BA42" s="574">
        <f t="shared" si="33"/>
        <v>3.0679224750135774E-2</v>
      </c>
      <c r="BB42" s="574">
        <f t="shared" si="34"/>
        <v>2.7201842750230375E-2</v>
      </c>
      <c r="BC42" s="574">
        <f t="shared" si="35"/>
        <v>2.3899353941923222E-2</v>
      </c>
      <c r="BD42" s="574">
        <f t="shared" si="36"/>
        <v>2.0885345973709345E-2</v>
      </c>
      <c r="BE42" s="574">
        <f t="shared" si="37"/>
        <v>1.8209631954015489E-2</v>
      </c>
      <c r="BF42" s="574">
        <f t="shared" si="37"/>
        <v>1.5877499243083012E-2</v>
      </c>
      <c r="BG42" s="574">
        <f t="shared" si="37"/>
        <v>1.3868040008659318E-2</v>
      </c>
      <c r="BH42" s="364">
        <f t="shared" si="37"/>
        <v>1.2147774665324495E-2</v>
      </c>
    </row>
    <row r="43" spans="1:60" x14ac:dyDescent="0.2">
      <c r="A43" s="58"/>
      <c r="B43" s="232" t="s">
        <v>783</v>
      </c>
      <c r="C43" s="56"/>
      <c r="D43" s="178">
        <f>'Tree volume estimation'!E9</f>
        <v>6.3768371546149325</v>
      </c>
      <c r="E43" s="178" t="s">
        <v>659</v>
      </c>
      <c r="F43" s="15" t="s">
        <v>714</v>
      </c>
      <c r="G43" s="236">
        <f>IF(C43="",D43,C43)</f>
        <v>6.3768371546149325</v>
      </c>
      <c r="H43" s="58"/>
      <c r="I43" s="253" t="s">
        <v>243</v>
      </c>
      <c r="J43" s="254">
        <f>((3.44+(1.22+1.02*G51)*G42/3.281)/G40+G49+(14.59+0.107*G43*2.54-2.38*G48)+(2.67+(0.186-0.039*G47+0.241*G51)*G43*2.54)+(-4.3+0.828*G43*2.54+(6.5-1.17*G47+2.11*G48+1.66*G51)*G41)+(-0.78+(0.841-0.073*G47-0.151*G48-0.207*G51)*(G43*2.54)^0.5))*(1+G50)/100</f>
        <v>0.59914784478695216</v>
      </c>
      <c r="K43" t="s">
        <v>321</v>
      </c>
      <c r="L43" s="20" t="s">
        <v>800</v>
      </c>
      <c r="M43" s="58"/>
      <c r="AC43" s="895"/>
      <c r="AD43" s="502">
        <v>10</v>
      </c>
      <c r="AE43" s="361">
        <f t="shared" si="27"/>
        <v>1.7985874043053625</v>
      </c>
      <c r="AF43" s="4">
        <f t="shared" si="27"/>
        <v>1.8457395600933044</v>
      </c>
      <c r="AG43" s="4">
        <f t="shared" si="27"/>
        <v>1.9292939996356619</v>
      </c>
      <c r="AH43" s="4">
        <f t="shared" si="27"/>
        <v>2.057504207014988</v>
      </c>
      <c r="AI43" s="4">
        <f t="shared" si="27"/>
        <v>2.2370916834240675</v>
      </c>
      <c r="AJ43" s="4">
        <f t="shared" si="27"/>
        <v>2.4735673654508972</v>
      </c>
      <c r="AK43" s="4">
        <f t="shared" si="27"/>
        <v>2.7714983946315477</v>
      </c>
      <c r="AL43" s="4">
        <f t="shared" si="27"/>
        <v>3.1347126702984918</v>
      </c>
      <c r="AM43" s="4">
        <f t="shared" si="27"/>
        <v>3.5664529842122183</v>
      </c>
      <c r="AN43" s="4">
        <f t="shared" si="27"/>
        <v>4.0694934173605617</v>
      </c>
      <c r="AO43" s="4">
        <f t="shared" si="27"/>
        <v>4.6462280528149993</v>
      </c>
      <c r="AP43" s="4">
        <f t="shared" si="27"/>
        <v>5.2987393802841032</v>
      </c>
      <c r="AQ43" s="5">
        <f t="shared" si="27"/>
        <v>6.0288516864075792</v>
      </c>
      <c r="AT43" s="895"/>
      <c r="AU43" s="110">
        <v>10</v>
      </c>
      <c r="AV43" s="573">
        <f t="shared" si="28"/>
        <v>8.6374177302948718E-2</v>
      </c>
      <c r="AW43" s="574">
        <f t="shared" si="29"/>
        <v>8.3982309069135674E-2</v>
      </c>
      <c r="AX43" s="574">
        <f t="shared" si="30"/>
        <v>8.0054011282110746E-2</v>
      </c>
      <c r="AY43" s="574">
        <f t="shared" si="31"/>
        <v>7.4692967231949528E-2</v>
      </c>
      <c r="AZ43" s="574">
        <f t="shared" si="32"/>
        <v>6.82873635055843E-2</v>
      </c>
      <c r="BA43" s="574">
        <f t="shared" si="33"/>
        <v>6.1358449500271549E-2</v>
      </c>
      <c r="BB43" s="574">
        <f t="shared" si="34"/>
        <v>5.4403685500460583E-2</v>
      </c>
      <c r="BC43" s="574">
        <f t="shared" si="35"/>
        <v>4.7798707883846589E-2</v>
      </c>
      <c r="BD43" s="574">
        <f t="shared" si="36"/>
        <v>4.1770691947418823E-2</v>
      </c>
      <c r="BE43" s="574">
        <f t="shared" si="37"/>
        <v>3.6419263908030977E-2</v>
      </c>
      <c r="BF43" s="574">
        <f t="shared" si="37"/>
        <v>3.1754998486165829E-2</v>
      </c>
      <c r="BG43" s="574">
        <f t="shared" si="37"/>
        <v>2.7736080017318462E-2</v>
      </c>
      <c r="BH43" s="364">
        <f t="shared" si="37"/>
        <v>2.4295549330649143E-2</v>
      </c>
    </row>
    <row r="44" spans="1:60" x14ac:dyDescent="0.2">
      <c r="A44" s="58"/>
      <c r="B44" s="232" t="s">
        <v>266</v>
      </c>
      <c r="C44" s="56"/>
      <c r="D44" s="227">
        <f>Input!C6</f>
        <v>21</v>
      </c>
      <c r="E44" s="178" t="s">
        <v>659</v>
      </c>
      <c r="F44" s="15" t="s">
        <v>715</v>
      </c>
      <c r="G44" s="251">
        <f>IF(C44="",D44,C44)</f>
        <v>21</v>
      </c>
      <c r="H44" s="58"/>
      <c r="I44" s="253"/>
      <c r="J44" s="255"/>
      <c r="L44" s="571"/>
      <c r="M44" s="58"/>
      <c r="AC44" s="895"/>
      <c r="AD44" s="502">
        <v>15</v>
      </c>
      <c r="AE44" s="361">
        <f t="shared" si="27"/>
        <v>1.8700874043053624</v>
      </c>
      <c r="AF44" s="4">
        <f t="shared" si="27"/>
        <v>1.9172395600933043</v>
      </c>
      <c r="AG44" s="4">
        <f t="shared" si="27"/>
        <v>2.0007939996356616</v>
      </c>
      <c r="AH44" s="4">
        <f t="shared" si="27"/>
        <v>2.1290042070149879</v>
      </c>
      <c r="AI44" s="4">
        <f t="shared" si="27"/>
        <v>2.3085916834240674</v>
      </c>
      <c r="AJ44" s="4">
        <f t="shared" si="27"/>
        <v>2.5450673654508971</v>
      </c>
      <c r="AK44" s="4">
        <f t="shared" si="27"/>
        <v>2.8429983946315476</v>
      </c>
      <c r="AL44" s="4">
        <f t="shared" si="27"/>
        <v>3.2062126702984912</v>
      </c>
      <c r="AM44" s="4">
        <f t="shared" si="27"/>
        <v>3.6379529842122178</v>
      </c>
      <c r="AN44" s="4">
        <f t="shared" si="27"/>
        <v>4.1409934173605611</v>
      </c>
      <c r="AO44" s="4">
        <f t="shared" si="27"/>
        <v>4.7177280528149996</v>
      </c>
      <c r="AP44" s="4">
        <f t="shared" si="27"/>
        <v>5.3702393802841026</v>
      </c>
      <c r="AQ44" s="5">
        <f t="shared" si="27"/>
        <v>6.1003516864075795</v>
      </c>
      <c r="AT44" s="895"/>
      <c r="AU44" s="110">
        <v>15</v>
      </c>
      <c r="AV44" s="573">
        <f t="shared" si="28"/>
        <v>0.12956126595442299</v>
      </c>
      <c r="AW44" s="574">
        <f t="shared" si="29"/>
        <v>0.12597346360370346</v>
      </c>
      <c r="AX44" s="574">
        <f t="shared" si="30"/>
        <v>0.12008101692316593</v>
      </c>
      <c r="AY44" s="574">
        <f t="shared" si="31"/>
        <v>0.11203945084792423</v>
      </c>
      <c r="AZ44" s="574">
        <f t="shared" si="32"/>
        <v>0.10243104525837635</v>
      </c>
      <c r="BA44" s="574">
        <f t="shared" si="33"/>
        <v>9.203767425040732E-2</v>
      </c>
      <c r="BB44" s="574">
        <f t="shared" si="34"/>
        <v>8.1605528250690784E-2</v>
      </c>
      <c r="BC44" s="574">
        <f t="shared" si="35"/>
        <v>7.1698061825769654E-2</v>
      </c>
      <c r="BD44" s="574">
        <f t="shared" si="36"/>
        <v>6.2656037921128047E-2</v>
      </c>
      <c r="BE44" s="574">
        <f t="shared" si="37"/>
        <v>5.4628895862046237E-2</v>
      </c>
      <c r="BF44" s="574">
        <f t="shared" si="37"/>
        <v>4.7632497729248838E-2</v>
      </c>
      <c r="BG44" s="574">
        <f t="shared" si="37"/>
        <v>4.160412002597761E-2</v>
      </c>
      <c r="BH44" s="364">
        <f t="shared" si="37"/>
        <v>3.6443323995973789E-2</v>
      </c>
    </row>
    <row r="45" spans="1:60" x14ac:dyDescent="0.2">
      <c r="A45" s="58"/>
      <c r="B45" s="11"/>
      <c r="G45" s="12"/>
      <c r="H45" s="58"/>
      <c r="I45" s="11"/>
      <c r="L45" s="12"/>
      <c r="M45" s="58"/>
      <c r="AC45" s="895"/>
      <c r="AD45" s="502">
        <v>20</v>
      </c>
      <c r="AE45" s="361">
        <f t="shared" si="27"/>
        <v>1.9415874043053625</v>
      </c>
      <c r="AF45" s="4">
        <f t="shared" si="27"/>
        <v>1.9887395600933044</v>
      </c>
      <c r="AG45" s="4">
        <f t="shared" si="27"/>
        <v>2.072293999635662</v>
      </c>
      <c r="AH45" s="4">
        <f t="shared" si="27"/>
        <v>2.2005042070149878</v>
      </c>
      <c r="AI45" s="4">
        <f t="shared" si="27"/>
        <v>2.3800916834240673</v>
      </c>
      <c r="AJ45" s="4">
        <f t="shared" si="27"/>
        <v>2.616567365450897</v>
      </c>
      <c r="AK45" s="4">
        <f t="shared" si="27"/>
        <v>2.9144983946315479</v>
      </c>
      <c r="AL45" s="4">
        <f t="shared" si="27"/>
        <v>3.2777126702984916</v>
      </c>
      <c r="AM45" s="4">
        <f t="shared" si="27"/>
        <v>3.7094529842122181</v>
      </c>
      <c r="AN45" s="4">
        <f t="shared" si="27"/>
        <v>4.2124934173605615</v>
      </c>
      <c r="AO45" s="4">
        <f t="shared" si="27"/>
        <v>4.789228052815</v>
      </c>
      <c r="AP45" s="4">
        <f t="shared" si="27"/>
        <v>5.441739380284103</v>
      </c>
      <c r="AQ45" s="5">
        <f t="shared" si="27"/>
        <v>6.171851686407579</v>
      </c>
      <c r="AT45" s="895"/>
      <c r="AU45" s="110">
        <v>20</v>
      </c>
      <c r="AV45" s="573">
        <f t="shared" si="28"/>
        <v>0.17274835460589744</v>
      </c>
      <c r="AW45" s="574">
        <f t="shared" si="29"/>
        <v>0.16796461813827135</v>
      </c>
      <c r="AX45" s="574">
        <f t="shared" si="30"/>
        <v>0.16010802256422149</v>
      </c>
      <c r="AY45" s="574">
        <f t="shared" si="31"/>
        <v>0.14938593446389895</v>
      </c>
      <c r="AZ45" s="574">
        <f t="shared" si="32"/>
        <v>0.13657472701116838</v>
      </c>
      <c r="BA45" s="574">
        <f t="shared" si="33"/>
        <v>0.1227168990005431</v>
      </c>
      <c r="BB45" s="574">
        <f t="shared" si="34"/>
        <v>0.10880737100092117</v>
      </c>
      <c r="BC45" s="574">
        <f t="shared" si="35"/>
        <v>9.5597415767693025E-2</v>
      </c>
      <c r="BD45" s="574">
        <f t="shared" si="36"/>
        <v>8.354138389483752E-2</v>
      </c>
      <c r="BE45" s="574">
        <f t="shared" si="37"/>
        <v>7.2838527816061718E-2</v>
      </c>
      <c r="BF45" s="574">
        <f t="shared" si="37"/>
        <v>6.3509996972331853E-2</v>
      </c>
      <c r="BG45" s="574">
        <f t="shared" si="37"/>
        <v>5.5472160034636925E-2</v>
      </c>
      <c r="BH45" s="364">
        <f t="shared" si="37"/>
        <v>4.8591098661298286E-2</v>
      </c>
    </row>
    <row r="46" spans="1:60" x14ac:dyDescent="0.2">
      <c r="A46" s="58"/>
      <c r="B46" s="942" t="s">
        <v>275</v>
      </c>
      <c r="C46" s="943"/>
      <c r="D46" s="943"/>
      <c r="E46" s="943"/>
      <c r="F46" s="943"/>
      <c r="G46" s="944"/>
      <c r="H46" s="58"/>
      <c r="I46" s="253"/>
      <c r="J46" s="254"/>
      <c r="L46" s="12"/>
      <c r="M46" s="58"/>
      <c r="AC46" s="895"/>
      <c r="AD46" s="502">
        <v>25</v>
      </c>
      <c r="AE46" s="361">
        <f t="shared" si="27"/>
        <v>2.0130874043053621</v>
      </c>
      <c r="AF46" s="4">
        <f t="shared" si="27"/>
        <v>2.0602395600933043</v>
      </c>
      <c r="AG46" s="4">
        <f t="shared" si="27"/>
        <v>2.1437939996356619</v>
      </c>
      <c r="AH46" s="4">
        <f t="shared" si="27"/>
        <v>2.2720042070149877</v>
      </c>
      <c r="AI46" s="4">
        <f t="shared" si="27"/>
        <v>2.4515916834240672</v>
      </c>
      <c r="AJ46" s="4">
        <f t="shared" si="27"/>
        <v>2.6880673654508973</v>
      </c>
      <c r="AK46" s="4">
        <f t="shared" si="27"/>
        <v>2.9859983946315474</v>
      </c>
      <c r="AL46" s="4">
        <f t="shared" si="27"/>
        <v>3.3492126702984915</v>
      </c>
      <c r="AM46" s="4">
        <f t="shared" si="27"/>
        <v>3.780952984212218</v>
      </c>
      <c r="AN46" s="4">
        <f t="shared" si="27"/>
        <v>4.2839934173605609</v>
      </c>
      <c r="AO46" s="4">
        <f t="shared" si="27"/>
        <v>4.8607280528149994</v>
      </c>
      <c r="AP46" s="4">
        <f t="shared" si="27"/>
        <v>5.5132393802841033</v>
      </c>
      <c r="AQ46" s="5">
        <f t="shared" si="27"/>
        <v>6.2433516864075793</v>
      </c>
      <c r="AT46" s="895"/>
      <c r="AU46" s="110">
        <v>25</v>
      </c>
      <c r="AV46" s="573">
        <f t="shared" si="28"/>
        <v>0.2159354432573716</v>
      </c>
      <c r="AW46" s="574">
        <f t="shared" si="29"/>
        <v>0.20995577267283913</v>
      </c>
      <c r="AX46" s="574">
        <f t="shared" si="30"/>
        <v>0.20013502820527682</v>
      </c>
      <c r="AY46" s="574">
        <f t="shared" si="31"/>
        <v>0.18673241807987365</v>
      </c>
      <c r="AZ46" s="574">
        <f t="shared" si="32"/>
        <v>0.17071840876396044</v>
      </c>
      <c r="BA46" s="574">
        <f t="shared" si="33"/>
        <v>0.15339612375067907</v>
      </c>
      <c r="BB46" s="574">
        <f t="shared" si="34"/>
        <v>0.13600921375115121</v>
      </c>
      <c r="BC46" s="574">
        <f t="shared" si="35"/>
        <v>0.11949676970961624</v>
      </c>
      <c r="BD46" s="574">
        <f t="shared" si="36"/>
        <v>0.10442672986854687</v>
      </c>
      <c r="BE46" s="574">
        <f t="shared" si="37"/>
        <v>9.1048159770076978E-2</v>
      </c>
      <c r="BF46" s="574">
        <f t="shared" si="37"/>
        <v>7.938749621541466E-2</v>
      </c>
      <c r="BG46" s="574">
        <f t="shared" si="37"/>
        <v>6.9340200043296246E-2</v>
      </c>
      <c r="BH46" s="364">
        <f t="shared" si="37"/>
        <v>6.0738873326622936E-2</v>
      </c>
    </row>
    <row r="47" spans="1:60" x14ac:dyDescent="0.2">
      <c r="A47" s="58"/>
      <c r="B47" s="334" t="s">
        <v>322</v>
      </c>
      <c r="C47" s="15"/>
      <c r="D47" s="227">
        <v>0</v>
      </c>
      <c r="E47" s="178" t="s">
        <v>323</v>
      </c>
      <c r="F47" s="15" t="s">
        <v>716</v>
      </c>
      <c r="G47" s="330">
        <f>IF(C47="",D47,C47)</f>
        <v>0</v>
      </c>
      <c r="H47" s="58"/>
      <c r="I47" s="253"/>
      <c r="J47" s="254"/>
      <c r="L47" s="12"/>
      <c r="M47" s="58"/>
      <c r="AC47" s="895"/>
      <c r="AD47" s="502">
        <v>30</v>
      </c>
      <c r="AE47" s="361">
        <f t="shared" si="27"/>
        <v>2.0845874043053625</v>
      </c>
      <c r="AF47" s="4">
        <f t="shared" si="27"/>
        <v>2.1317395600933042</v>
      </c>
      <c r="AG47" s="4">
        <f t="shared" si="27"/>
        <v>2.2152939996356618</v>
      </c>
      <c r="AH47" s="4">
        <f t="shared" si="27"/>
        <v>2.3435042070149881</v>
      </c>
      <c r="AI47" s="4">
        <f t="shared" si="27"/>
        <v>2.5230916834240675</v>
      </c>
      <c r="AJ47" s="4">
        <f t="shared" si="27"/>
        <v>2.7595673654508972</v>
      </c>
      <c r="AK47" s="4">
        <f t="shared" si="27"/>
        <v>3.0574983946315477</v>
      </c>
      <c r="AL47" s="4">
        <f t="shared" si="27"/>
        <v>3.4207126702984914</v>
      </c>
      <c r="AM47" s="4">
        <f t="shared" si="27"/>
        <v>3.8524529842122179</v>
      </c>
      <c r="AN47" s="4">
        <f t="shared" si="27"/>
        <v>4.3554934173605613</v>
      </c>
      <c r="AO47" s="4">
        <f t="shared" si="27"/>
        <v>4.9322280528149998</v>
      </c>
      <c r="AP47" s="4">
        <f t="shared" si="27"/>
        <v>5.5847393802841037</v>
      </c>
      <c r="AQ47" s="5">
        <f t="shared" si="27"/>
        <v>6.3148516864075788</v>
      </c>
      <c r="AT47" s="895"/>
      <c r="AU47" s="110">
        <v>30</v>
      </c>
      <c r="AV47" s="573">
        <f t="shared" si="28"/>
        <v>0.25912253190884615</v>
      </c>
      <c r="AW47" s="574">
        <f t="shared" si="29"/>
        <v>0.25194692720740691</v>
      </c>
      <c r="AX47" s="574">
        <f t="shared" si="30"/>
        <v>0.24016203384633211</v>
      </c>
      <c r="AY47" s="574">
        <f t="shared" si="31"/>
        <v>0.22407890169584857</v>
      </c>
      <c r="AZ47" s="574">
        <f t="shared" si="32"/>
        <v>0.20486209051675269</v>
      </c>
      <c r="BA47" s="574">
        <f t="shared" si="33"/>
        <v>0.18407534850081483</v>
      </c>
      <c r="BB47" s="574">
        <f t="shared" si="34"/>
        <v>0.16321105650138157</v>
      </c>
      <c r="BC47" s="574">
        <f t="shared" si="35"/>
        <v>0.14339612365153948</v>
      </c>
      <c r="BD47" s="574">
        <f t="shared" si="36"/>
        <v>0.1253120758422562</v>
      </c>
      <c r="BE47" s="574">
        <f t="shared" si="37"/>
        <v>0.10925779172409247</v>
      </c>
      <c r="BF47" s="574">
        <f t="shared" si="37"/>
        <v>9.5264995458497675E-2</v>
      </c>
      <c r="BG47" s="574">
        <f t="shared" si="37"/>
        <v>8.3208240051955554E-2</v>
      </c>
      <c r="BH47" s="364">
        <f t="shared" si="37"/>
        <v>7.2886647991947426E-2</v>
      </c>
    </row>
    <row r="48" spans="1:60" x14ac:dyDescent="0.2">
      <c r="A48" s="58"/>
      <c r="B48" s="334" t="s">
        <v>324</v>
      </c>
      <c r="C48" s="15"/>
      <c r="D48" s="227">
        <v>0</v>
      </c>
      <c r="E48" s="178" t="s">
        <v>325</v>
      </c>
      <c r="F48" s="15" t="s">
        <v>716</v>
      </c>
      <c r="G48" s="330">
        <f>IF(C48="",D48,C48)</f>
        <v>0</v>
      </c>
      <c r="H48" s="58"/>
      <c r="I48" s="253"/>
      <c r="J48" s="254"/>
      <c r="L48" s="12"/>
      <c r="M48" s="58"/>
      <c r="AC48" s="895"/>
      <c r="AD48" s="502">
        <v>35</v>
      </c>
      <c r="AE48" s="361">
        <f t="shared" si="27"/>
        <v>2.1560874043053624</v>
      </c>
      <c r="AF48" s="4">
        <f t="shared" si="27"/>
        <v>2.2032395600933041</v>
      </c>
      <c r="AG48" s="4">
        <f t="shared" si="27"/>
        <v>2.2867939996356617</v>
      </c>
      <c r="AH48" s="4">
        <f t="shared" si="27"/>
        <v>2.415004207014988</v>
      </c>
      <c r="AI48" s="4">
        <f t="shared" si="27"/>
        <v>2.5945916834240674</v>
      </c>
      <c r="AJ48" s="4">
        <f t="shared" si="27"/>
        <v>2.8310673654508971</v>
      </c>
      <c r="AK48" s="4">
        <f t="shared" si="27"/>
        <v>3.1289983946315476</v>
      </c>
      <c r="AL48" s="4">
        <f t="shared" si="27"/>
        <v>3.4922126702984917</v>
      </c>
      <c r="AM48" s="4">
        <f t="shared" si="27"/>
        <v>3.9239529842122183</v>
      </c>
      <c r="AN48" s="4">
        <f t="shared" si="27"/>
        <v>4.4269934173605616</v>
      </c>
      <c r="AO48" s="4">
        <f t="shared" si="27"/>
        <v>5.0037280528149992</v>
      </c>
      <c r="AP48" s="4">
        <f t="shared" si="27"/>
        <v>5.6562393802841031</v>
      </c>
      <c r="AQ48" s="5">
        <f t="shared" si="27"/>
        <v>6.3863516864075791</v>
      </c>
      <c r="AT48" s="895"/>
      <c r="AU48" s="110">
        <v>35</v>
      </c>
      <c r="AV48" s="573">
        <f t="shared" si="28"/>
        <v>0.30230962056032046</v>
      </c>
      <c r="AW48" s="574">
        <f t="shared" si="29"/>
        <v>0.29393808174197467</v>
      </c>
      <c r="AX48" s="574">
        <f t="shared" si="30"/>
        <v>0.28018903948738744</v>
      </c>
      <c r="AY48" s="574">
        <f t="shared" si="31"/>
        <v>0.2614253853118233</v>
      </c>
      <c r="AZ48" s="574">
        <f t="shared" si="32"/>
        <v>0.23900577226954473</v>
      </c>
      <c r="BA48" s="574">
        <f t="shared" si="33"/>
        <v>0.2147545732509506</v>
      </c>
      <c r="BB48" s="574">
        <f t="shared" si="34"/>
        <v>0.19041289925161178</v>
      </c>
      <c r="BC48" s="574">
        <f t="shared" si="35"/>
        <v>0.16729547759346283</v>
      </c>
      <c r="BD48" s="574">
        <f t="shared" si="36"/>
        <v>0.14619742181596568</v>
      </c>
      <c r="BE48" s="574">
        <f t="shared" si="37"/>
        <v>0.12746742367810796</v>
      </c>
      <c r="BF48" s="574">
        <f t="shared" si="37"/>
        <v>0.1111424947015805</v>
      </c>
      <c r="BG48" s="574">
        <f t="shared" si="37"/>
        <v>9.7076280060614709E-2</v>
      </c>
      <c r="BH48" s="364">
        <f t="shared" si="37"/>
        <v>8.5034422657272069E-2</v>
      </c>
    </row>
    <row r="49" spans="1:60" x14ac:dyDescent="0.2">
      <c r="A49" s="58"/>
      <c r="B49" s="334" t="s">
        <v>326</v>
      </c>
      <c r="C49" s="15"/>
      <c r="D49" s="178">
        <v>0.9</v>
      </c>
      <c r="E49" s="212" t="s">
        <v>719</v>
      </c>
      <c r="F49" s="15" t="s">
        <v>321</v>
      </c>
      <c r="G49" s="331">
        <f>IF(C49="",D49,C49)</f>
        <v>0.9</v>
      </c>
      <c r="H49" s="58"/>
      <c r="I49" s="253"/>
      <c r="J49" s="254"/>
      <c r="L49" s="12"/>
      <c r="M49" s="58"/>
      <c r="AC49" s="895"/>
      <c r="AD49" s="502">
        <v>40</v>
      </c>
      <c r="AE49" s="361">
        <f t="shared" si="27"/>
        <v>2.2275874043053627</v>
      </c>
      <c r="AF49" s="4">
        <f t="shared" si="27"/>
        <v>2.2747395600933045</v>
      </c>
      <c r="AG49" s="4">
        <f t="shared" si="27"/>
        <v>2.358293999635662</v>
      </c>
      <c r="AH49" s="4">
        <f t="shared" si="27"/>
        <v>2.4865042070149883</v>
      </c>
      <c r="AI49" s="4">
        <f t="shared" si="27"/>
        <v>2.6660916834240678</v>
      </c>
      <c r="AJ49" s="4">
        <f t="shared" si="27"/>
        <v>2.9025673654508974</v>
      </c>
      <c r="AK49" s="4">
        <f t="shared" si="27"/>
        <v>3.2004983946315479</v>
      </c>
      <c r="AL49" s="4">
        <f t="shared" si="27"/>
        <v>3.563712670298492</v>
      </c>
      <c r="AM49" s="4">
        <f t="shared" si="27"/>
        <v>3.9954529842122186</v>
      </c>
      <c r="AN49" s="4">
        <f t="shared" si="27"/>
        <v>4.498493417360562</v>
      </c>
      <c r="AO49" s="4">
        <f t="shared" si="27"/>
        <v>5.0752280528149996</v>
      </c>
      <c r="AP49" s="4">
        <f t="shared" si="27"/>
        <v>5.7277393802841035</v>
      </c>
      <c r="AQ49" s="5">
        <f t="shared" si="27"/>
        <v>6.4578516864075795</v>
      </c>
      <c r="AT49" s="895"/>
      <c r="AU49" s="110">
        <v>40</v>
      </c>
      <c r="AV49" s="573">
        <f t="shared" si="28"/>
        <v>0.34549670921179498</v>
      </c>
      <c r="AW49" s="574">
        <f t="shared" si="29"/>
        <v>0.3359292362765427</v>
      </c>
      <c r="AX49" s="574">
        <f t="shared" si="30"/>
        <v>0.32021604512844298</v>
      </c>
      <c r="AY49" s="574">
        <f t="shared" si="31"/>
        <v>0.29877186892779822</v>
      </c>
      <c r="AZ49" s="574">
        <f t="shared" si="32"/>
        <v>0.27314945402233698</v>
      </c>
      <c r="BA49" s="574">
        <f t="shared" si="33"/>
        <v>0.24543379800108658</v>
      </c>
      <c r="BB49" s="574">
        <f t="shared" si="34"/>
        <v>0.21761474200184217</v>
      </c>
      <c r="BC49" s="574">
        <f t="shared" si="35"/>
        <v>0.19119483153538622</v>
      </c>
      <c r="BD49" s="574">
        <f t="shared" si="36"/>
        <v>0.16708276778967515</v>
      </c>
      <c r="BE49" s="574">
        <f t="shared" si="37"/>
        <v>0.14567705563212344</v>
      </c>
      <c r="BF49" s="574">
        <f t="shared" si="37"/>
        <v>0.12701999394466351</v>
      </c>
      <c r="BG49" s="574">
        <f t="shared" si="37"/>
        <v>0.11094432006927402</v>
      </c>
      <c r="BH49" s="364">
        <f t="shared" si="37"/>
        <v>9.7182197322596725E-2</v>
      </c>
    </row>
    <row r="50" spans="1:60" x14ac:dyDescent="0.2">
      <c r="A50" s="58"/>
      <c r="B50" s="334" t="s">
        <v>327</v>
      </c>
      <c r="C50" s="15"/>
      <c r="D50" s="178">
        <v>0.126</v>
      </c>
      <c r="E50" s="212" t="s">
        <v>719</v>
      </c>
      <c r="F50" s="15" t="s">
        <v>321</v>
      </c>
      <c r="G50" s="337">
        <f>IF(C50="",D50,C50)</f>
        <v>0.126</v>
      </c>
      <c r="H50" s="58"/>
      <c r="I50" s="253"/>
      <c r="J50" s="254"/>
      <c r="L50" s="12"/>
      <c r="M50" s="58"/>
      <c r="AC50" s="895"/>
      <c r="AD50" s="502">
        <v>45</v>
      </c>
      <c r="AE50" s="361">
        <f t="shared" si="27"/>
        <v>2.2990874043053622</v>
      </c>
      <c r="AF50" s="4">
        <f t="shared" si="27"/>
        <v>2.3462395600933039</v>
      </c>
      <c r="AG50" s="4">
        <f t="shared" si="27"/>
        <v>2.4297939996356615</v>
      </c>
      <c r="AH50" s="4">
        <f t="shared" si="27"/>
        <v>2.5580042070149878</v>
      </c>
      <c r="AI50" s="4">
        <f t="shared" si="27"/>
        <v>2.7375916834240672</v>
      </c>
      <c r="AJ50" s="4">
        <f t="shared" si="27"/>
        <v>2.9740673654508969</v>
      </c>
      <c r="AK50" s="4">
        <f t="shared" si="27"/>
        <v>3.2719983946315474</v>
      </c>
      <c r="AL50" s="4">
        <f t="shared" si="27"/>
        <v>3.6352126702984915</v>
      </c>
      <c r="AM50" s="4">
        <f t="shared" si="27"/>
        <v>4.0669529842122181</v>
      </c>
      <c r="AN50" s="4">
        <f t="shared" si="27"/>
        <v>4.5699934173605605</v>
      </c>
      <c r="AO50" s="4">
        <f t="shared" si="27"/>
        <v>5.1467280528149999</v>
      </c>
      <c r="AP50" s="4">
        <f t="shared" si="27"/>
        <v>5.7992393802841029</v>
      </c>
      <c r="AQ50" s="5">
        <f t="shared" si="27"/>
        <v>6.5293516864075789</v>
      </c>
      <c r="AT50" s="895"/>
      <c r="AU50" s="110">
        <v>45</v>
      </c>
      <c r="AV50" s="573">
        <f t="shared" si="28"/>
        <v>0.38868379786326901</v>
      </c>
      <c r="AW50" s="574">
        <f t="shared" si="29"/>
        <v>0.37792039081111023</v>
      </c>
      <c r="AX50" s="574">
        <f t="shared" si="30"/>
        <v>0.36024305076949809</v>
      </c>
      <c r="AY50" s="574">
        <f t="shared" si="31"/>
        <v>0.3361183525437727</v>
      </c>
      <c r="AZ50" s="574">
        <f t="shared" si="32"/>
        <v>0.30729313577512879</v>
      </c>
      <c r="BA50" s="574">
        <f t="shared" si="33"/>
        <v>0.27611302275122218</v>
      </c>
      <c r="BB50" s="574">
        <f t="shared" si="34"/>
        <v>0.24481658475207221</v>
      </c>
      <c r="BC50" s="574">
        <f t="shared" si="35"/>
        <v>0.21509418547730927</v>
      </c>
      <c r="BD50" s="574">
        <f t="shared" si="36"/>
        <v>0.18796811376338438</v>
      </c>
      <c r="BE50" s="574">
        <f t="shared" si="37"/>
        <v>0.16388668758613847</v>
      </c>
      <c r="BF50" s="574">
        <f t="shared" si="37"/>
        <v>0.14289749318774653</v>
      </c>
      <c r="BG50" s="574">
        <f t="shared" si="37"/>
        <v>0.12481236007793317</v>
      </c>
      <c r="BH50" s="364">
        <f t="shared" si="37"/>
        <v>0.10932997198792122</v>
      </c>
    </row>
    <row r="51" spans="1:60" ht="16" thickBot="1" x14ac:dyDescent="0.25">
      <c r="A51" s="58"/>
      <c r="B51" s="468" t="s">
        <v>328</v>
      </c>
      <c r="C51" s="214"/>
      <c r="D51" s="464">
        <f>IF(Input!C16="Cable Yarder", 1,0)</f>
        <v>0</v>
      </c>
      <c r="E51" s="444" t="s">
        <v>660</v>
      </c>
      <c r="F51" s="214" t="s">
        <v>715</v>
      </c>
      <c r="G51" s="465">
        <f>IF(C51="",D51,C51)</f>
        <v>0</v>
      </c>
      <c r="H51" s="58"/>
      <c r="I51" s="466"/>
      <c r="J51" s="467"/>
      <c r="K51" s="1"/>
      <c r="L51" s="14"/>
      <c r="M51" s="58"/>
      <c r="S51" s="4"/>
      <c r="T51" s="4"/>
      <c r="U51" s="4"/>
      <c r="V51" s="4"/>
      <c r="W51" s="4"/>
      <c r="X51" s="4"/>
      <c r="Y51" s="4"/>
      <c r="Z51" s="4"/>
      <c r="AA51" s="4"/>
      <c r="AC51" s="895"/>
      <c r="AD51" s="502">
        <v>50</v>
      </c>
      <c r="AE51" s="361">
        <f t="shared" si="27"/>
        <v>2.3705874043053625</v>
      </c>
      <c r="AF51" s="4">
        <f t="shared" si="27"/>
        <v>2.4177395600933043</v>
      </c>
      <c r="AG51" s="4">
        <f t="shared" si="27"/>
        <v>2.5012939996356618</v>
      </c>
      <c r="AH51" s="4">
        <f t="shared" si="27"/>
        <v>2.6295042070149881</v>
      </c>
      <c r="AI51" s="4">
        <f t="shared" si="27"/>
        <v>2.8090916834240676</v>
      </c>
      <c r="AJ51" s="4">
        <f t="shared" si="27"/>
        <v>3.0455673654508972</v>
      </c>
      <c r="AK51" s="4">
        <f t="shared" si="27"/>
        <v>3.3434983946315477</v>
      </c>
      <c r="AL51" s="4">
        <f t="shared" si="27"/>
        <v>3.7067126702984918</v>
      </c>
      <c r="AM51" s="4">
        <f t="shared" si="27"/>
        <v>4.1384529842122184</v>
      </c>
      <c r="AN51" s="4">
        <f t="shared" si="27"/>
        <v>4.6414934173605609</v>
      </c>
      <c r="AO51" s="4">
        <f t="shared" si="27"/>
        <v>5.2182280528150002</v>
      </c>
      <c r="AP51" s="4">
        <f t="shared" si="27"/>
        <v>5.8707393802841032</v>
      </c>
      <c r="AQ51" s="5">
        <f t="shared" si="27"/>
        <v>6.6008516864075792</v>
      </c>
      <c r="AT51" s="895"/>
      <c r="AU51" s="110">
        <v>50</v>
      </c>
      <c r="AV51" s="573">
        <f t="shared" si="28"/>
        <v>0.43187088651474359</v>
      </c>
      <c r="AW51" s="574">
        <f t="shared" si="29"/>
        <v>0.41991154534567826</v>
      </c>
      <c r="AX51" s="574">
        <f t="shared" si="30"/>
        <v>0.40027005641055363</v>
      </c>
      <c r="AY51" s="574">
        <f t="shared" si="31"/>
        <v>0.37346483615974763</v>
      </c>
      <c r="AZ51" s="574">
        <f t="shared" si="32"/>
        <v>0.34143681752792104</v>
      </c>
      <c r="BA51" s="574">
        <f t="shared" si="33"/>
        <v>0.30679224750135814</v>
      </c>
      <c r="BB51" s="574">
        <f t="shared" si="34"/>
        <v>0.2720184275023026</v>
      </c>
      <c r="BC51" s="574">
        <f t="shared" si="35"/>
        <v>0.23899353941923265</v>
      </c>
      <c r="BD51" s="574">
        <f t="shared" si="36"/>
        <v>0.20885345973709385</v>
      </c>
      <c r="BE51" s="574">
        <f t="shared" si="37"/>
        <v>0.18209631954015396</v>
      </c>
      <c r="BF51" s="574">
        <f t="shared" si="37"/>
        <v>0.15877499243082954</v>
      </c>
      <c r="BG51" s="574">
        <f t="shared" si="37"/>
        <v>0.13868040008659249</v>
      </c>
      <c r="BH51" s="364">
        <f t="shared" si="37"/>
        <v>0.12147774665324587</v>
      </c>
    </row>
    <row r="52" spans="1:60" ht="24" x14ac:dyDescent="0.3">
      <c r="A52" s="58"/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S52" s="286"/>
      <c r="T52" s="286"/>
      <c r="U52" s="286"/>
      <c r="V52" s="286"/>
      <c r="W52" s="286"/>
      <c r="X52" s="286"/>
      <c r="Y52" s="286"/>
      <c r="Z52" s="286"/>
      <c r="AA52" s="286"/>
      <c r="AC52" s="896"/>
      <c r="AD52" s="503">
        <v>55</v>
      </c>
      <c r="AE52" s="500">
        <f t="shared" si="27"/>
        <v>2.4420874043053624</v>
      </c>
      <c r="AF52" s="488">
        <f t="shared" si="27"/>
        <v>2.4892395600933042</v>
      </c>
      <c r="AG52" s="488">
        <f t="shared" si="27"/>
        <v>2.5727939996356617</v>
      </c>
      <c r="AH52" s="488">
        <f t="shared" si="27"/>
        <v>2.701004207014988</v>
      </c>
      <c r="AI52" s="488">
        <f t="shared" si="27"/>
        <v>2.8805916834240675</v>
      </c>
      <c r="AJ52" s="488">
        <f t="shared" si="27"/>
        <v>3.1170673654508971</v>
      </c>
      <c r="AK52" s="488">
        <f t="shared" si="27"/>
        <v>3.4149983946315476</v>
      </c>
      <c r="AL52" s="488">
        <f t="shared" si="27"/>
        <v>3.7782126702984913</v>
      </c>
      <c r="AM52" s="488">
        <f t="shared" si="27"/>
        <v>4.2099529842122179</v>
      </c>
      <c r="AN52" s="488">
        <f t="shared" si="27"/>
        <v>4.7129934173605612</v>
      </c>
      <c r="AO52" s="488">
        <f t="shared" si="27"/>
        <v>5.2897280528149997</v>
      </c>
      <c r="AP52" s="488">
        <f t="shared" si="27"/>
        <v>5.9422393802841036</v>
      </c>
      <c r="AQ52" s="487">
        <f t="shared" si="27"/>
        <v>6.6723516864075787</v>
      </c>
      <c r="AT52" s="896"/>
      <c r="AU52" s="486">
        <v>55</v>
      </c>
      <c r="AV52" s="575">
        <f t="shared" si="28"/>
        <v>0.47505797516621789</v>
      </c>
      <c r="AW52" s="576">
        <f t="shared" si="29"/>
        <v>0.46190269988024601</v>
      </c>
      <c r="AX52" s="576">
        <f t="shared" si="30"/>
        <v>0.44029706205160896</v>
      </c>
      <c r="AY52" s="576">
        <f t="shared" si="31"/>
        <v>0.41081131977572233</v>
      </c>
      <c r="AZ52" s="576">
        <f t="shared" si="32"/>
        <v>0.37558049928071313</v>
      </c>
      <c r="BA52" s="576">
        <f t="shared" si="33"/>
        <v>0.33747147225149388</v>
      </c>
      <c r="BB52" s="576">
        <f t="shared" si="34"/>
        <v>0.29922027025253278</v>
      </c>
      <c r="BC52" s="576">
        <f t="shared" si="35"/>
        <v>0.26289289336115573</v>
      </c>
      <c r="BD52" s="576">
        <f t="shared" si="36"/>
        <v>0.22973880571080307</v>
      </c>
      <c r="BE52" s="576">
        <f t="shared" si="37"/>
        <v>0.20030595149416947</v>
      </c>
      <c r="BF52" s="576">
        <f t="shared" si="37"/>
        <v>0.17465249167391234</v>
      </c>
      <c r="BG52" s="576">
        <f t="shared" si="37"/>
        <v>0.15254844009525181</v>
      </c>
      <c r="BH52" s="577">
        <f t="shared" si="37"/>
        <v>0.13362552131857036</v>
      </c>
    </row>
    <row r="53" spans="1:60" x14ac:dyDescent="0.2">
      <c r="A53" s="58"/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S53" s="4"/>
      <c r="T53" s="4"/>
      <c r="U53" s="4"/>
      <c r="V53" s="4"/>
      <c r="W53" s="4"/>
      <c r="X53" s="4"/>
      <c r="Y53" s="4"/>
      <c r="Z53" s="4"/>
      <c r="AA53" s="4"/>
      <c r="AE53" s="4"/>
      <c r="AF53" s="4"/>
      <c r="AG53" s="4"/>
      <c r="AH53" s="4"/>
      <c r="AI53" s="4"/>
      <c r="AJ53" s="4"/>
      <c r="AK53" s="4"/>
      <c r="AL53" s="4"/>
      <c r="AM53" s="4"/>
      <c r="AN53" s="4"/>
    </row>
    <row r="54" spans="1:60" x14ac:dyDescent="0.2">
      <c r="E54" s="242"/>
      <c r="F54" s="4"/>
      <c r="S54" s="4"/>
      <c r="T54" s="4"/>
      <c r="U54" s="4"/>
      <c r="V54" s="4"/>
      <c r="W54" s="4"/>
      <c r="X54" s="4"/>
      <c r="Y54" s="4"/>
      <c r="Z54" s="4"/>
      <c r="AA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S54" s="510"/>
      <c r="AT54" s="511"/>
    </row>
    <row r="55" spans="1:60" x14ac:dyDescent="0.2">
      <c r="F55" s="4"/>
      <c r="S55" s="4"/>
      <c r="T55" s="4"/>
      <c r="U55" s="4"/>
      <c r="V55" s="4"/>
      <c r="W55" s="4"/>
      <c r="X55" s="4"/>
      <c r="Y55" s="4"/>
      <c r="Z55" s="4"/>
      <c r="AA55" s="4"/>
      <c r="AE55" s="4"/>
      <c r="AF55" s="4"/>
      <c r="AG55" s="4"/>
      <c r="AH55" s="4"/>
      <c r="AI55" s="4"/>
      <c r="AJ55" s="4"/>
      <c r="AK55" s="4"/>
      <c r="AL55" s="4"/>
      <c r="AM55" s="4"/>
      <c r="AN55" s="4"/>
    </row>
    <row r="56" spans="1:60" x14ac:dyDescent="0.2">
      <c r="F56" s="4"/>
      <c r="S56" s="4"/>
      <c r="T56" s="4"/>
      <c r="U56" s="4"/>
      <c r="V56" s="4"/>
      <c r="W56" s="4"/>
      <c r="X56" s="4"/>
      <c r="Y56" s="4"/>
      <c r="Z56" s="4"/>
      <c r="AA56" s="4"/>
      <c r="AE56" s="4"/>
      <c r="AF56" s="4"/>
      <c r="AG56" s="4"/>
      <c r="AH56" s="4"/>
      <c r="AI56" s="4"/>
      <c r="AJ56" s="4"/>
      <c r="AK56" s="4"/>
      <c r="AL56" s="4"/>
      <c r="AM56" s="4"/>
      <c r="AN56" s="4"/>
    </row>
    <row r="57" spans="1:60" x14ac:dyDescent="0.2">
      <c r="F57" s="4"/>
      <c r="G57" s="4"/>
      <c r="S57" s="4"/>
      <c r="T57" s="4"/>
      <c r="U57" s="4"/>
      <c r="V57" s="4"/>
      <c r="W57" s="4"/>
      <c r="X57" s="4"/>
      <c r="Y57" s="4"/>
      <c r="Z57" s="4"/>
      <c r="AA57" s="4"/>
      <c r="AE57" s="4"/>
      <c r="AF57" s="4"/>
      <c r="AG57" s="4"/>
      <c r="AH57" s="4"/>
      <c r="AI57" s="4"/>
      <c r="AJ57" s="4"/>
      <c r="AK57" s="4"/>
      <c r="AL57" s="4"/>
      <c r="AM57" s="4"/>
      <c r="AN57" s="4"/>
    </row>
    <row r="58" spans="1:60" x14ac:dyDescent="0.2">
      <c r="F58" s="4"/>
      <c r="G58" s="4"/>
      <c r="S58" s="4"/>
      <c r="T58" s="4"/>
      <c r="U58" s="4"/>
      <c r="V58" s="4"/>
      <c r="W58" s="4"/>
      <c r="X58" s="4"/>
      <c r="Y58" s="4"/>
      <c r="Z58" s="4"/>
      <c r="AA58" s="4"/>
      <c r="AE58" s="4"/>
      <c r="AF58" s="4"/>
      <c r="AG58" s="4"/>
      <c r="AH58" s="4"/>
      <c r="AI58" s="4"/>
      <c r="AJ58" s="4"/>
      <c r="AK58" s="4"/>
      <c r="AL58" s="4"/>
      <c r="AM58" s="4"/>
      <c r="AN58" s="4"/>
    </row>
    <row r="59" spans="1:60" x14ac:dyDescent="0.2">
      <c r="S59" s="4"/>
      <c r="T59" s="4"/>
      <c r="U59" s="4"/>
      <c r="V59" s="4"/>
      <c r="W59" s="4"/>
      <c r="X59" s="4"/>
      <c r="Y59" s="4"/>
      <c r="Z59" s="4"/>
      <c r="AA59" s="4"/>
      <c r="AE59" s="4"/>
      <c r="AF59" s="4"/>
      <c r="AG59" s="4"/>
      <c r="AH59" s="4"/>
      <c r="AI59" s="4"/>
      <c r="AJ59" s="4"/>
      <c r="AK59" s="4"/>
      <c r="AL59" s="4"/>
      <c r="AM59" s="4"/>
      <c r="AN59" s="4"/>
    </row>
    <row r="60" spans="1:60" x14ac:dyDescent="0.2">
      <c r="S60" s="4"/>
      <c r="T60" s="4"/>
      <c r="U60" s="4"/>
      <c r="V60" s="4"/>
      <c r="W60" s="4"/>
      <c r="X60" s="4"/>
      <c r="Y60" s="4"/>
      <c r="Z60" s="4"/>
      <c r="AA60" s="4"/>
      <c r="AE60" s="4"/>
      <c r="AF60" s="4"/>
      <c r="AG60" s="4"/>
      <c r="AH60" s="4"/>
      <c r="AI60" s="4"/>
      <c r="AJ60" s="4"/>
      <c r="AK60" s="4"/>
      <c r="AL60" s="4"/>
      <c r="AM60" s="4"/>
      <c r="AN60" s="4"/>
    </row>
    <row r="61" spans="1:60" x14ac:dyDescent="0.2">
      <c r="AE61" s="4"/>
      <c r="AF61" s="4"/>
      <c r="AG61" s="4"/>
      <c r="AH61" s="4"/>
      <c r="AI61" s="4"/>
      <c r="AJ61" s="4"/>
      <c r="AK61" s="4"/>
      <c r="AL61" s="4"/>
      <c r="AM61" s="4"/>
    </row>
    <row r="62" spans="1:60" x14ac:dyDescent="0.2">
      <c r="AE62" s="4"/>
      <c r="AF62" s="4"/>
      <c r="AG62" s="4"/>
      <c r="AH62" s="4"/>
      <c r="AI62" s="4"/>
      <c r="AJ62" s="4"/>
      <c r="AK62" s="4"/>
      <c r="AL62" s="4"/>
      <c r="AM62" s="4"/>
    </row>
    <row r="63" spans="1:60" x14ac:dyDescent="0.2">
      <c r="AE63" s="4"/>
      <c r="AF63" s="4"/>
      <c r="AG63" s="4"/>
      <c r="AH63" s="4"/>
      <c r="AI63" s="4"/>
      <c r="AJ63" s="4"/>
      <c r="AK63" s="4"/>
      <c r="AL63" s="4"/>
      <c r="AM63" s="4"/>
    </row>
    <row r="64" spans="1:60" x14ac:dyDescent="0.2">
      <c r="S64" s="522"/>
      <c r="T64" s="522"/>
      <c r="AE64" s="4"/>
      <c r="AF64" s="4"/>
      <c r="AG64" s="4"/>
      <c r="AH64" s="4"/>
      <c r="AI64" s="4"/>
      <c r="AJ64" s="4"/>
      <c r="AK64" s="4"/>
      <c r="AL64" s="4"/>
      <c r="AM64" s="4"/>
    </row>
    <row r="65" spans="18:39" x14ac:dyDescent="0.2">
      <c r="S65" s="523"/>
      <c r="T65" s="3"/>
      <c r="AE65" s="4"/>
      <c r="AF65" s="4"/>
      <c r="AG65" s="4"/>
      <c r="AH65" s="4"/>
      <c r="AI65" s="4"/>
      <c r="AJ65" s="4"/>
      <c r="AK65" s="4"/>
      <c r="AL65" s="4"/>
      <c r="AM65" s="4"/>
    </row>
    <row r="66" spans="18:39" x14ac:dyDescent="0.2">
      <c r="R66" s="524"/>
      <c r="S66" s="3"/>
      <c r="T66" s="3"/>
      <c r="AE66" s="4"/>
      <c r="AF66" s="4"/>
      <c r="AG66" s="4"/>
      <c r="AH66" s="4"/>
      <c r="AI66" s="4"/>
      <c r="AJ66" s="4"/>
      <c r="AK66" s="4"/>
      <c r="AL66" s="4"/>
      <c r="AM66" s="4"/>
    </row>
    <row r="67" spans="18:39" x14ac:dyDescent="0.2">
      <c r="R67" s="9"/>
      <c r="S67" s="3"/>
      <c r="T67" s="3"/>
      <c r="AE67" s="4"/>
      <c r="AF67" s="4"/>
      <c r="AG67" s="4"/>
      <c r="AH67" s="4"/>
      <c r="AI67" s="4"/>
      <c r="AJ67" s="4"/>
      <c r="AK67" s="4"/>
      <c r="AL67" s="4"/>
      <c r="AM67" s="4"/>
    </row>
    <row r="68" spans="18:39" x14ac:dyDescent="0.2">
      <c r="R68" s="9"/>
      <c r="S68" s="3"/>
      <c r="T68" s="3"/>
      <c r="AE68" s="4"/>
      <c r="AF68" s="4"/>
      <c r="AG68" s="4"/>
      <c r="AH68" s="4"/>
      <c r="AI68" s="4"/>
      <c r="AJ68" s="4"/>
      <c r="AK68" s="4"/>
      <c r="AL68" s="4"/>
      <c r="AM68" s="4"/>
    </row>
    <row r="69" spans="18:39" x14ac:dyDescent="0.2">
      <c r="S69" s="15"/>
      <c r="T69" s="3"/>
      <c r="AE69" s="4"/>
      <c r="AF69" s="4"/>
      <c r="AG69" s="4"/>
      <c r="AH69" s="4"/>
      <c r="AI69" s="4"/>
      <c r="AJ69" s="4"/>
      <c r="AK69" s="4"/>
      <c r="AL69" s="4"/>
      <c r="AM69" s="4"/>
    </row>
    <row r="70" spans="18:39" x14ac:dyDescent="0.2">
      <c r="AE70" s="4"/>
      <c r="AF70" s="4"/>
      <c r="AG70" s="4"/>
      <c r="AH70" s="4"/>
      <c r="AI70" s="4"/>
      <c r="AJ70" s="4"/>
      <c r="AK70" s="4"/>
      <c r="AL70" s="4"/>
      <c r="AM70" s="4"/>
    </row>
    <row r="71" spans="18:39" x14ac:dyDescent="0.2">
      <c r="AE71" s="4"/>
      <c r="AF71" s="4"/>
      <c r="AG71" s="4"/>
      <c r="AH71" s="4"/>
      <c r="AI71" s="4"/>
      <c r="AJ71" s="4"/>
      <c r="AK71" s="4"/>
      <c r="AL71" s="4"/>
      <c r="AM71" s="4"/>
    </row>
    <row r="72" spans="18:39" x14ac:dyDescent="0.2">
      <c r="AE72" s="4"/>
      <c r="AF72" s="4"/>
      <c r="AG72" s="4"/>
      <c r="AH72" s="4"/>
      <c r="AI72" s="4"/>
      <c r="AJ72" s="4"/>
      <c r="AK72" s="4"/>
      <c r="AL72" s="4"/>
      <c r="AM72" s="4"/>
    </row>
    <row r="73" spans="18:39" x14ac:dyDescent="0.2">
      <c r="AE73" s="4"/>
      <c r="AF73" s="4"/>
      <c r="AG73" s="4"/>
      <c r="AH73" s="4"/>
      <c r="AI73" s="4"/>
      <c r="AJ73" s="4"/>
      <c r="AK73" s="4"/>
      <c r="AL73" s="4"/>
      <c r="AM73" s="4"/>
    </row>
    <row r="74" spans="18:39" x14ac:dyDescent="0.2">
      <c r="AE74" s="4"/>
      <c r="AF74" s="4"/>
      <c r="AG74" s="4"/>
      <c r="AH74" s="4"/>
      <c r="AI74" s="4"/>
      <c r="AJ74" s="4"/>
      <c r="AK74" s="4"/>
      <c r="AL74" s="4"/>
      <c r="AM74" s="4"/>
    </row>
    <row r="75" spans="18:39" x14ac:dyDescent="0.2">
      <c r="AE75" s="4"/>
      <c r="AF75" s="4"/>
      <c r="AG75" s="4"/>
      <c r="AH75" s="4"/>
      <c r="AI75" s="4"/>
      <c r="AJ75" s="4"/>
      <c r="AK75" s="4"/>
      <c r="AL75" s="4"/>
      <c r="AM75" s="4"/>
    </row>
    <row r="76" spans="18:39" x14ac:dyDescent="0.2">
      <c r="AE76" s="4"/>
      <c r="AF76" s="4"/>
      <c r="AG76" s="4"/>
      <c r="AH76" s="4"/>
      <c r="AI76" s="4"/>
      <c r="AJ76" s="4"/>
      <c r="AK76" s="4"/>
      <c r="AL76" s="4"/>
      <c r="AM76" s="4"/>
    </row>
    <row r="77" spans="18:39" x14ac:dyDescent="0.2">
      <c r="AE77" s="4"/>
      <c r="AF77" s="4"/>
      <c r="AG77" s="4"/>
      <c r="AH77" s="4"/>
      <c r="AI77" s="4"/>
      <c r="AJ77" s="4"/>
      <c r="AK77" s="4"/>
      <c r="AL77" s="4"/>
      <c r="AM77" s="4"/>
    </row>
    <row r="78" spans="18:39" x14ac:dyDescent="0.2">
      <c r="AE78" s="4"/>
      <c r="AF78" s="4"/>
      <c r="AG78" s="4"/>
      <c r="AH78" s="4"/>
      <c r="AI78" s="4"/>
      <c r="AJ78" s="4"/>
      <c r="AK78" s="4"/>
      <c r="AL78" s="4"/>
      <c r="AM78" s="4"/>
    </row>
  </sheetData>
  <mergeCells count="39">
    <mergeCell ref="BJ14:BL14"/>
    <mergeCell ref="BJ15:BL15"/>
    <mergeCell ref="BJ16:BL16"/>
    <mergeCell ref="BJ17:BL17"/>
    <mergeCell ref="BJ18:BL18"/>
    <mergeCell ref="I11:L11"/>
    <mergeCell ref="I25:L25"/>
    <mergeCell ref="B46:G46"/>
    <mergeCell ref="B25:G25"/>
    <mergeCell ref="B38:G38"/>
    <mergeCell ref="I38:L38"/>
    <mergeCell ref="B34:G34"/>
    <mergeCell ref="B16:G16"/>
    <mergeCell ref="BP11:BS11"/>
    <mergeCell ref="BU11:BY11"/>
    <mergeCell ref="Q25:R25"/>
    <mergeCell ref="C6:E6"/>
    <mergeCell ref="C7:E7"/>
    <mergeCell ref="C8:E8"/>
    <mergeCell ref="I2:L8"/>
    <mergeCell ref="B2:F2"/>
    <mergeCell ref="C3:E3"/>
    <mergeCell ref="B4:B5"/>
    <mergeCell ref="C4:E4"/>
    <mergeCell ref="C5:E5"/>
    <mergeCell ref="B6:B8"/>
    <mergeCell ref="I10:L10"/>
    <mergeCell ref="B10:G10"/>
    <mergeCell ref="B11:G11"/>
    <mergeCell ref="Q26:R26"/>
    <mergeCell ref="Q10:T10"/>
    <mergeCell ref="AD24:AQ24"/>
    <mergeCell ref="AC26:AC35"/>
    <mergeCell ref="AD38:AQ38"/>
    <mergeCell ref="AC41:AC52"/>
    <mergeCell ref="AT41:AT52"/>
    <mergeCell ref="AT25:AT34"/>
    <mergeCell ref="AU23:BH23"/>
    <mergeCell ref="AU39:BH39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ABEB9-723B-4D4E-B16C-3E32A6CBDBB0}">
  <sheetPr>
    <tabColor rgb="FFFFFF00"/>
  </sheetPr>
  <dimension ref="A1:BI335"/>
  <sheetViews>
    <sheetView topLeftCell="A9" zoomScaleNormal="100" workbookViewId="0">
      <selection activeCell="D14" sqref="D14:D18"/>
    </sheetView>
  </sheetViews>
  <sheetFormatPr baseColWidth="10" defaultColWidth="8.83203125" defaultRowHeight="15" x14ac:dyDescent="0.2"/>
  <cols>
    <col min="1" max="1" width="26.33203125" customWidth="1"/>
    <col min="2" max="2" width="39.5" bestFit="1" customWidth="1"/>
    <col min="3" max="3" width="16.5" customWidth="1"/>
    <col min="4" max="4" width="12.33203125" customWidth="1"/>
    <col min="5" max="5" width="35.83203125" bestFit="1" customWidth="1"/>
    <col min="6" max="6" width="27.5" bestFit="1" customWidth="1"/>
    <col min="7" max="7" width="10.33203125" style="223" bestFit="1" customWidth="1"/>
    <col min="8" max="8" width="4.5" bestFit="1" customWidth="1"/>
    <col min="9" max="9" width="23.1640625" bestFit="1" customWidth="1"/>
    <col min="10" max="10" width="19.6640625" style="15" bestFit="1" customWidth="1"/>
    <col min="11" max="11" width="29.33203125" bestFit="1" customWidth="1"/>
    <col min="12" max="12" width="121.6640625" bestFit="1" customWidth="1"/>
    <col min="13" max="14" width="9.6640625" customWidth="1"/>
    <col min="15" max="15" width="13.5" customWidth="1"/>
    <col min="16" max="16" width="10.6640625" customWidth="1"/>
    <col min="17" max="17" width="22" customWidth="1"/>
    <col min="18" max="18" width="12.83203125" customWidth="1"/>
    <col min="19" max="19" width="13" customWidth="1"/>
    <col min="20" max="20" width="9.1640625" customWidth="1"/>
    <col min="21" max="21" width="14.83203125" customWidth="1"/>
    <col min="22" max="22" width="10.5" customWidth="1"/>
    <col min="23" max="25" width="9.1640625" customWidth="1"/>
    <col min="26" max="26" width="13.5" customWidth="1"/>
    <col min="27" max="30" width="9.1640625" customWidth="1"/>
    <col min="31" max="31" width="10.1640625" customWidth="1"/>
    <col min="32" max="35" width="9.1640625" customWidth="1"/>
    <col min="36" max="36" width="10.1640625" customWidth="1"/>
    <col min="37" max="40" width="9.1640625" customWidth="1"/>
    <col min="41" max="42" width="8.83203125" customWidth="1"/>
    <col min="43" max="43" width="11" bestFit="1" customWidth="1"/>
    <col min="44" max="44" width="8.83203125" customWidth="1"/>
    <col min="45" max="45" width="13.5" bestFit="1" customWidth="1"/>
    <col min="46" max="49" width="8.83203125" customWidth="1"/>
    <col min="50" max="50" width="13.5" bestFit="1" customWidth="1"/>
    <col min="51" max="54" width="8.83203125" customWidth="1"/>
    <col min="55" max="55" width="9.6640625" customWidth="1"/>
    <col min="56" max="57" width="8.83203125" customWidth="1"/>
    <col min="58" max="58" width="11" customWidth="1"/>
    <col min="59" max="59" width="9.6640625" customWidth="1"/>
    <col min="60" max="60" width="10.6640625" customWidth="1"/>
  </cols>
  <sheetData>
    <row r="1" spans="1:53" ht="16" thickBot="1" x14ac:dyDescent="0.25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</row>
    <row r="2" spans="1:53" ht="32.25" customHeight="1" thickBot="1" x14ac:dyDescent="0.4">
      <c r="A2" s="58"/>
      <c r="B2" s="922" t="s">
        <v>329</v>
      </c>
      <c r="C2" s="923"/>
      <c r="D2" s="923"/>
      <c r="E2" s="923"/>
      <c r="F2" s="924"/>
      <c r="G2" s="58"/>
      <c r="H2" s="58"/>
      <c r="I2" s="913" t="s">
        <v>330</v>
      </c>
      <c r="J2" s="977"/>
      <c r="K2" s="977"/>
      <c r="L2" s="978"/>
      <c r="M2" s="58"/>
    </row>
    <row r="3" spans="1:53" ht="31" x14ac:dyDescent="0.2">
      <c r="A3" s="58"/>
      <c r="B3" s="235" t="s">
        <v>107</v>
      </c>
      <c r="C3" s="985" t="str">
        <f>Input!C16</f>
        <v>Skidder (rubber-tired)</v>
      </c>
      <c r="D3" s="985"/>
      <c r="E3" s="986"/>
      <c r="F3" s="472" t="s">
        <v>233</v>
      </c>
      <c r="G3" s="58"/>
      <c r="H3" s="58"/>
      <c r="I3" s="979"/>
      <c r="J3" s="980"/>
      <c r="K3" s="980"/>
      <c r="L3" s="981"/>
      <c r="M3" s="58"/>
      <c r="AP3" s="309"/>
    </row>
    <row r="4" spans="1:53" ht="24" x14ac:dyDescent="0.2">
      <c r="A4" s="58"/>
      <c r="B4" s="928" t="s">
        <v>237</v>
      </c>
      <c r="C4" s="907">
        <f>IF(AND(Input!C7="Whole-tree",OR(C3="Skidder (rubber-tired)",C3="Skidder (track-based)")),AP23, AP16*AQ16)</f>
        <v>20.957986556205316</v>
      </c>
      <c r="D4" s="908"/>
      <c r="E4" s="908"/>
      <c r="F4" s="294" t="s">
        <v>238</v>
      </c>
      <c r="G4" s="58"/>
      <c r="H4" s="58"/>
      <c r="I4" s="979"/>
      <c r="J4" s="980"/>
      <c r="K4" s="980"/>
      <c r="L4" s="981"/>
      <c r="M4" s="58"/>
    </row>
    <row r="5" spans="1:53" ht="24" x14ac:dyDescent="0.2">
      <c r="A5" s="58"/>
      <c r="B5" s="929"/>
      <c r="C5" s="931">
        <f>C4*'Tree volume estimation'!$E$15/100</f>
        <v>8.8347724522456694</v>
      </c>
      <c r="D5" s="932"/>
      <c r="E5" s="932"/>
      <c r="F5" s="295" t="s">
        <v>246</v>
      </c>
      <c r="G5" s="58"/>
      <c r="H5" s="58"/>
      <c r="I5" s="979"/>
      <c r="J5" s="980"/>
      <c r="K5" s="980"/>
      <c r="L5" s="981"/>
      <c r="M5" s="58"/>
    </row>
    <row r="6" spans="1:53" ht="23.25" customHeight="1" x14ac:dyDescent="0.2">
      <c r="A6" s="58"/>
      <c r="B6" s="928" t="s">
        <v>247</v>
      </c>
      <c r="C6" s="907">
        <f>IF(C3="Cable Yarder",'Machine Rates'!P17,IF(C3="Skidder (rubber-tired)",'Machine Rates'!R17,IF(C3="Skidder (track-based)",'Machine Rates'!T17,'Machine Rates'!V17)))/C5</f>
        <v>20.796734539521278</v>
      </c>
      <c r="D6" s="908"/>
      <c r="E6" s="908"/>
      <c r="F6" s="294" t="s">
        <v>158</v>
      </c>
      <c r="G6" s="58"/>
      <c r="H6" s="58"/>
      <c r="I6" s="979"/>
      <c r="J6" s="980"/>
      <c r="K6" s="980"/>
      <c r="L6" s="981"/>
      <c r="M6" s="58"/>
      <c r="AL6" s="32"/>
    </row>
    <row r="7" spans="1:53" ht="23.25" customHeight="1" x14ac:dyDescent="0.2">
      <c r="A7" s="58"/>
      <c r="B7" s="934"/>
      <c r="C7" s="909">
        <f>IF(C3="Cable Yarder",'Machine Rates'!P17,IF(C3="Skidder (rubber-tired)",'Machine Rates'!R17,IF(C3="Skidder (track-based)",'Machine Rates'!T17,'Machine Rates'!V17)))/C4</f>
        <v>8.7667971784258949</v>
      </c>
      <c r="D7" s="910"/>
      <c r="E7" s="910"/>
      <c r="F7" s="296" t="s">
        <v>157</v>
      </c>
      <c r="G7" s="58"/>
      <c r="H7" s="58"/>
      <c r="I7" s="979"/>
      <c r="J7" s="980"/>
      <c r="K7" s="980"/>
      <c r="L7" s="981"/>
      <c r="M7" s="58"/>
      <c r="AL7" s="32"/>
    </row>
    <row r="8" spans="1:53" ht="25" thickBot="1" x14ac:dyDescent="0.25">
      <c r="A8" s="58"/>
      <c r="B8" s="935"/>
      <c r="C8" s="911">
        <f>IF(C3="Cable Yarder",'Machine Rates'!P17,IF(C3="Skidder (rubber-tired)",'Machine Rates'!R17,IF(C3="Skidder (track-based)",'Machine Rates'!T17,'Machine Rates'!V17)))*AP21</f>
        <v>266.32858658375295</v>
      </c>
      <c r="D8" s="912"/>
      <c r="E8" s="912"/>
      <c r="F8" s="297" t="s">
        <v>156</v>
      </c>
      <c r="G8" s="58"/>
      <c r="H8" s="58"/>
      <c r="I8" s="979"/>
      <c r="J8" s="980"/>
      <c r="K8" s="980"/>
      <c r="L8" s="981"/>
      <c r="M8" s="58"/>
      <c r="AL8" s="32"/>
    </row>
    <row r="9" spans="1:53" ht="15.75" customHeight="1" x14ac:dyDescent="0.2">
      <c r="A9" s="58"/>
      <c r="B9" s="58"/>
      <c r="C9" s="58"/>
      <c r="D9" s="58"/>
      <c r="E9" s="58"/>
      <c r="F9" s="58"/>
      <c r="G9" s="58"/>
      <c r="H9" s="58"/>
      <c r="I9" s="979"/>
      <c r="J9" s="980"/>
      <c r="K9" s="980"/>
      <c r="L9" s="981"/>
      <c r="M9" s="58"/>
      <c r="AL9" s="32"/>
    </row>
    <row r="10" spans="1:53" ht="16" thickBot="1" x14ac:dyDescent="0.25">
      <c r="A10" s="58"/>
      <c r="B10" s="58"/>
      <c r="C10" s="58"/>
      <c r="D10" s="58"/>
      <c r="E10" s="58"/>
      <c r="F10" s="58"/>
      <c r="G10" s="58"/>
      <c r="H10" s="58"/>
      <c r="I10" s="982"/>
      <c r="J10" s="983"/>
      <c r="K10" s="983"/>
      <c r="L10" s="984"/>
      <c r="M10" s="58"/>
      <c r="AL10" s="32"/>
    </row>
    <row r="11" spans="1:53" ht="16" thickBot="1" x14ac:dyDescent="0.25">
      <c r="A11" s="58"/>
      <c r="B11" s="58"/>
      <c r="C11" s="58"/>
      <c r="D11" s="58"/>
      <c r="E11" s="58"/>
      <c r="F11" s="58"/>
      <c r="G11" s="58"/>
      <c r="H11" s="58"/>
      <c r="I11" s="58"/>
      <c r="J11" s="58"/>
      <c r="K11" s="58"/>
      <c r="L11" s="58"/>
      <c r="M11" s="58"/>
    </row>
    <row r="12" spans="1:53" ht="32" thickBot="1" x14ac:dyDescent="0.4">
      <c r="A12" s="58"/>
      <c r="B12" s="936" t="s">
        <v>255</v>
      </c>
      <c r="C12" s="937"/>
      <c r="D12" s="937"/>
      <c r="E12" s="937"/>
      <c r="F12" s="937"/>
      <c r="G12" s="938"/>
      <c r="H12" s="58"/>
      <c r="I12" s="974" t="s">
        <v>834</v>
      </c>
      <c r="J12" s="975"/>
      <c r="K12" s="975"/>
      <c r="L12" s="976"/>
      <c r="M12" s="58"/>
    </row>
    <row r="13" spans="1:53" ht="24" x14ac:dyDescent="0.3">
      <c r="A13" s="58"/>
      <c r="B13" s="939" t="s">
        <v>331</v>
      </c>
      <c r="C13" s="940"/>
      <c r="D13" s="940"/>
      <c r="E13" s="940"/>
      <c r="F13" s="940"/>
      <c r="G13" s="941"/>
      <c r="H13" s="58"/>
      <c r="I13" s="939" t="s">
        <v>331</v>
      </c>
      <c r="J13" s="940"/>
      <c r="K13" s="940"/>
      <c r="L13" s="941"/>
      <c r="M13" s="58"/>
      <c r="AI13" s="32"/>
      <c r="AJ13" s="32"/>
    </row>
    <row r="14" spans="1:53" x14ac:dyDescent="0.2">
      <c r="A14" s="449"/>
      <c r="B14" s="328" t="s">
        <v>259</v>
      </c>
      <c r="C14" s="219" t="s">
        <v>166</v>
      </c>
      <c r="D14" s="222" t="s">
        <v>260</v>
      </c>
      <c r="E14" s="219" t="s">
        <v>261</v>
      </c>
      <c r="F14" s="222" t="s">
        <v>262</v>
      </c>
      <c r="G14" s="215" t="s">
        <v>263</v>
      </c>
      <c r="H14" s="58"/>
      <c r="I14" s="241" t="s">
        <v>130</v>
      </c>
      <c r="J14" s="220" t="s">
        <v>264</v>
      </c>
      <c r="K14" s="219" t="s">
        <v>688</v>
      </c>
      <c r="L14" s="690" t="s">
        <v>265</v>
      </c>
      <c r="M14" s="58"/>
      <c r="AK14" s="32"/>
    </row>
    <row r="15" spans="1:53" x14ac:dyDescent="0.2">
      <c r="A15" s="58"/>
      <c r="B15" s="11" t="s">
        <v>730</v>
      </c>
      <c r="C15" s="10"/>
      <c r="D15" s="212">
        <f>Input!C10</f>
        <v>350</v>
      </c>
      <c r="E15" s="212" t="s">
        <v>736</v>
      </c>
      <c r="F15" s="15" t="s">
        <v>737</v>
      </c>
      <c r="G15" s="237">
        <f>IF(C15="",D15,C15)</f>
        <v>350</v>
      </c>
      <c r="H15" s="58"/>
      <c r="I15" s="229" t="s">
        <v>241</v>
      </c>
      <c r="J15" s="240">
        <f>(EXP(2.8473+0.3132*LN(G15)+0.233*LN(G15)+0.0637*G16))/100</f>
        <v>8.2307258586475154</v>
      </c>
      <c r="K15" t="s">
        <v>723</v>
      </c>
      <c r="L15" s="20" t="s">
        <v>343</v>
      </c>
      <c r="M15" s="58"/>
      <c r="Q15" s="316"/>
      <c r="AM15" s="496"/>
      <c r="AN15" s="508"/>
      <c r="AO15" s="514" t="s">
        <v>239</v>
      </c>
      <c r="AP15" s="514" t="s">
        <v>240</v>
      </c>
      <c r="AQ15" s="509" t="s">
        <v>235</v>
      </c>
      <c r="AS15" s="902" t="s">
        <v>333</v>
      </c>
      <c r="AT15" s="903"/>
      <c r="AU15" s="903"/>
      <c r="AV15" s="904"/>
      <c r="AW15" s="223"/>
      <c r="AX15" s="902" t="s">
        <v>235</v>
      </c>
      <c r="AY15" s="903"/>
      <c r="AZ15" s="903"/>
      <c r="BA15" s="904"/>
    </row>
    <row r="16" spans="1:53" ht="17" thickBot="1" x14ac:dyDescent="0.25">
      <c r="A16" s="58"/>
      <c r="B16" s="232" t="s">
        <v>731</v>
      </c>
      <c r="C16" s="10"/>
      <c r="D16" s="178">
        <f>MAX(14.311-0.6043*('Tree volume estimation'!E9),1)</f>
        <v>10.457477307466196</v>
      </c>
      <c r="E16" s="213" t="s">
        <v>610</v>
      </c>
      <c r="F16" s="15" t="s">
        <v>717</v>
      </c>
      <c r="G16" s="238">
        <f>IF(C16="",D16,C16)</f>
        <v>10.457477307466196</v>
      </c>
      <c r="H16" s="58"/>
      <c r="I16" s="229" t="s">
        <v>241</v>
      </c>
      <c r="J16" s="240">
        <f>(35.28+1.74*G15-22.37)/100</f>
        <v>6.2191000000000001</v>
      </c>
      <c r="K16" t="s">
        <v>723</v>
      </c>
      <c r="L16" s="20" t="s">
        <v>344</v>
      </c>
      <c r="M16" s="58"/>
      <c r="AM16" s="491" t="str">
        <f>IF(OR( Input!C16="Skidder (rubber-tired)", Input!C16= "Skidder (track-based)"), "Skidder", IF( Input!C16 = "Forwarder", "Forwarder", "Cable Yarder"))</f>
        <v>Skidder</v>
      </c>
      <c r="AN16" s="492" t="str">
        <f>IF(Input!C7="Whole-tree", "WT", IF( Input!C7= "Tree-length", "TL", "CTL"))</f>
        <v>WT</v>
      </c>
      <c r="AO16" s="494">
        <f>INDEX(AS16:AV19,MATCH(AM16,AS16:AS19,0),MATCH(AN16,AS16:AV16,0))</f>
        <v>5.3468885926308429</v>
      </c>
      <c r="AP16" s="531">
        <f>60/AO16</f>
        <v>11.221479363286686</v>
      </c>
      <c r="AQ16" s="493">
        <f>INDEX(AX16:BA19,MATCH(AM16,AX16:AX19,0),MATCH(AN16,AX16:BA16,0))</f>
        <v>2.6314995484687516</v>
      </c>
      <c r="AS16" s="489"/>
      <c r="AT16" s="223" t="s">
        <v>241</v>
      </c>
      <c r="AU16" s="223" t="s">
        <v>242</v>
      </c>
      <c r="AV16" s="490" t="s">
        <v>243</v>
      </c>
      <c r="AW16" s="223"/>
      <c r="AX16" s="489"/>
      <c r="AY16" s="223" t="s">
        <v>241</v>
      </c>
      <c r="AZ16" s="223" t="s">
        <v>242</v>
      </c>
      <c r="BA16" s="490" t="s">
        <v>243</v>
      </c>
    </row>
    <row r="17" spans="1:53" ht="16" thickBot="1" x14ac:dyDescent="0.25">
      <c r="A17" s="58"/>
      <c r="B17" s="11" t="s">
        <v>732</v>
      </c>
      <c r="C17" s="10"/>
      <c r="D17" s="307">
        <f>(AY17)</f>
        <v>2.6314995484687516</v>
      </c>
      <c r="E17" s="212" t="s">
        <v>345</v>
      </c>
      <c r="F17" s="15" t="s">
        <v>738</v>
      </c>
      <c r="G17" s="308">
        <f>IF(C17="",D17,C17)</f>
        <v>2.6314995484687516</v>
      </c>
      <c r="H17" s="58"/>
      <c r="I17" s="229" t="s">
        <v>241</v>
      </c>
      <c r="J17" s="240">
        <f>0.2202+0.5264*G15*2/3.281/100+1.431*G21</f>
        <v>3.4897722340749771</v>
      </c>
      <c r="K17" t="s">
        <v>712</v>
      </c>
      <c r="L17" s="230" t="s">
        <v>346</v>
      </c>
      <c r="M17" s="58"/>
      <c r="P17" s="691" t="s">
        <v>813</v>
      </c>
      <c r="Q17" s="692"/>
      <c r="R17" s="692"/>
      <c r="S17" s="692"/>
      <c r="T17" s="692"/>
      <c r="U17" s="692"/>
      <c r="V17" s="693"/>
      <c r="AS17" s="489" t="s">
        <v>331</v>
      </c>
      <c r="AT17" s="254">
        <f>AVERAGEIF(I15:I24,AT16,J15:J24)*INDEX($R$36:$V$40,MATCH(Input!C11,$Q$36:$Q$40,0),MATCH(IF(G18&lt;11,1,IF(G18&lt;21,2,IF(G18&lt;34,3,IF(G18&lt;50,4,5)))),$R$35:$V$35,0))</f>
        <v>5.3468885926308429</v>
      </c>
      <c r="AU17" s="254">
        <f>AVERAGEIF(I15:I24,I23,J15:J24)*INDEX($R$36:$V$40,MATCH(Input!C11,$Q$36:$Q$40,0),MATCH(IF(G18&lt;11,1,IF(G18&lt;21,2,IF(G18&lt;34,3,IF(G18&lt;50,4,5)))),$R$35:$V$35,0))</f>
        <v>6.7102219178604079</v>
      </c>
      <c r="AV17" s="535"/>
      <c r="AW17" s="223"/>
      <c r="AX17" s="489" t="s">
        <v>331</v>
      </c>
      <c r="AY17" s="254">
        <f>G16*'Tree volume estimation'!E14</f>
        <v>2.6314995484687516</v>
      </c>
      <c r="AZ17" s="254">
        <f>IF(Input!C8=4,'Tree volume estimation'!P8*G16,'Tree volume estimation'!U8*Extraction!G16)</f>
        <v>7.1230976356668894</v>
      </c>
      <c r="BA17" s="535"/>
    </row>
    <row r="18" spans="1:53" x14ac:dyDescent="0.2">
      <c r="A18" s="58"/>
      <c r="B18" s="232" t="s">
        <v>266</v>
      </c>
      <c r="C18" s="56"/>
      <c r="D18" s="227">
        <f>Input!C6</f>
        <v>21</v>
      </c>
      <c r="E18" s="178" t="s">
        <v>659</v>
      </c>
      <c r="F18" s="15" t="s">
        <v>715</v>
      </c>
      <c r="G18" s="236">
        <f>IF(C18="",D18,C18)</f>
        <v>21</v>
      </c>
      <c r="H18" s="58"/>
      <c r="I18" s="229" t="s">
        <v>241</v>
      </c>
      <c r="J18" s="240">
        <f>-0.2528+0.931*G15*2/3.281/100+1.7108*G21</f>
        <v>4.2996846693081379</v>
      </c>
      <c r="K18" t="s">
        <v>712</v>
      </c>
      <c r="L18" s="231" t="s">
        <v>347</v>
      </c>
      <c r="M18" s="58"/>
      <c r="P18" s="11"/>
      <c r="R18" s="374" t="s">
        <v>13</v>
      </c>
      <c r="S18" s="15" t="s">
        <v>14</v>
      </c>
      <c r="T18" s="15" t="s">
        <v>15</v>
      </c>
      <c r="U18" s="15" t="s">
        <v>16</v>
      </c>
      <c r="V18" s="280" t="s">
        <v>17</v>
      </c>
      <c r="AM18" s="989" t="s">
        <v>337</v>
      </c>
      <c r="AN18" s="990"/>
      <c r="AO18" s="990"/>
      <c r="AP18" s="990"/>
      <c r="AQ18" s="991"/>
      <c r="AS18" s="489" t="s">
        <v>147</v>
      </c>
      <c r="AT18" s="254"/>
      <c r="AU18" s="254"/>
      <c r="AV18" s="535">
        <f>J29*INDEX($R$36:$V$40,MATCH(Input!C11,$Q$36:$Q$40,0),MATCH(IF(G18&lt;11,1,IF(G18&lt;21,2,IF(G18&lt;34,3,IF(G18&lt;50,4,5)))),$R$35:$V$35,0))</f>
        <v>34.225156272901344</v>
      </c>
      <c r="AW18" s="223"/>
      <c r="AX18" s="489" t="s">
        <v>147</v>
      </c>
      <c r="AY18" s="254"/>
      <c r="AZ18" s="254"/>
      <c r="BA18" s="535">
        <f>(G31*IF(Input!C8=4,'Tree volume estimation'!P8,'Tree volume estimation'!U8)/G30)*(COUNTA(I35:I42)-1)/COUNTA(I35:I42)+J39/AP16/COUNTA(I35:I42)</f>
        <v>9.0767427144385167</v>
      </c>
    </row>
    <row r="19" spans="1:53" x14ac:dyDescent="0.2">
      <c r="A19" s="58"/>
      <c r="B19" s="11"/>
      <c r="G19" s="237"/>
      <c r="H19" s="58"/>
      <c r="I19" s="229" t="s">
        <v>241</v>
      </c>
      <c r="J19" s="240">
        <f>0.3626+1.194*G15*2/3.281/100+1.3302*G21</f>
        <v>4.9052940871685458</v>
      </c>
      <c r="K19" t="s">
        <v>712</v>
      </c>
      <c r="L19" s="231" t="s">
        <v>348</v>
      </c>
      <c r="M19" s="58"/>
      <c r="P19" s="11"/>
      <c r="R19" s="517">
        <v>1</v>
      </c>
      <c r="S19" s="335">
        <v>2</v>
      </c>
      <c r="T19" s="335">
        <v>3</v>
      </c>
      <c r="U19" s="335">
        <v>4</v>
      </c>
      <c r="V19" s="665">
        <v>5</v>
      </c>
      <c r="AM19" s="987" t="s">
        <v>339</v>
      </c>
      <c r="AN19" s="988"/>
      <c r="AO19" s="988"/>
      <c r="AP19" s="4">
        <f>AP16*AQ16</f>
        <v>29.529317877640331</v>
      </c>
      <c r="AQ19" s="2" t="s">
        <v>250</v>
      </c>
      <c r="AS19" s="491" t="s">
        <v>176</v>
      </c>
      <c r="AT19" s="494">
        <f>AVERAGEIF(I48:I53,AT16,J48:J53)</f>
        <v>2.8503683907345323</v>
      </c>
      <c r="AU19" s="494">
        <f>AVERAGEIF(I48:I53,AU16,J48:J53)</f>
        <v>3.9763421756186426</v>
      </c>
      <c r="AV19" s="493"/>
      <c r="AW19" s="223"/>
      <c r="AX19" s="491" t="s">
        <v>176</v>
      </c>
      <c r="AY19" s="494">
        <f>G50*'Tree volume estimation'!E14</f>
        <v>0.7549142506644424</v>
      </c>
      <c r="AZ19" s="494">
        <f>IF(Input!C8=4,'Tree volume estimation'!P8*G50,'Tree volume estimation'!U8*G50)</f>
        <v>2.04344626134105</v>
      </c>
      <c r="BA19" s="493"/>
    </row>
    <row r="20" spans="1:53" x14ac:dyDescent="0.2">
      <c r="A20" s="58"/>
      <c r="B20" s="942" t="s">
        <v>275</v>
      </c>
      <c r="C20" s="943"/>
      <c r="D20" s="943"/>
      <c r="E20" s="943"/>
      <c r="F20" s="943"/>
      <c r="G20" s="944"/>
      <c r="H20" s="58"/>
      <c r="I20" s="229" t="s">
        <v>241</v>
      </c>
      <c r="J20" s="240">
        <f>(195.24-0.93*G16+1.71*G15/3.281)/100</f>
        <v>3.6792844430582421</v>
      </c>
      <c r="K20" t="s">
        <v>308</v>
      </c>
      <c r="L20" s="20" t="s">
        <v>349</v>
      </c>
      <c r="M20" s="58"/>
      <c r="P20" s="697" t="s">
        <v>18</v>
      </c>
      <c r="Q20" s="625" t="s">
        <v>647</v>
      </c>
      <c r="R20" s="513" t="s">
        <v>19</v>
      </c>
      <c r="S20" s="514" t="s">
        <v>20</v>
      </c>
      <c r="T20" s="514" t="s">
        <v>20</v>
      </c>
      <c r="U20" s="514" t="s">
        <v>20</v>
      </c>
      <c r="V20" s="666" t="s">
        <v>20</v>
      </c>
      <c r="AM20" s="987" t="s">
        <v>251</v>
      </c>
      <c r="AN20" s="988"/>
      <c r="AO20" s="988"/>
      <c r="AP20" s="4">
        <f>'Tree volume estimation'!E12</f>
        <v>42.803638012673879</v>
      </c>
      <c r="AQ20" s="2" t="s">
        <v>252</v>
      </c>
      <c r="AS20" s="223"/>
      <c r="AT20" s="223"/>
      <c r="AU20" s="223"/>
      <c r="AV20" s="223"/>
      <c r="AW20" s="223"/>
      <c r="AX20" s="223"/>
      <c r="AY20" s="223"/>
      <c r="AZ20" s="223"/>
      <c r="BA20" s="223"/>
    </row>
    <row r="21" spans="1:53" x14ac:dyDescent="0.2">
      <c r="A21" s="58"/>
      <c r="B21" s="407" t="s">
        <v>733</v>
      </c>
      <c r="D21" s="212">
        <v>1.5</v>
      </c>
      <c r="E21" s="212" t="s">
        <v>719</v>
      </c>
      <c r="F21" s="15" t="s">
        <v>717</v>
      </c>
      <c r="G21" s="340">
        <f>IF(C21="",D21,C21)</f>
        <v>1.5</v>
      </c>
      <c r="H21" s="58"/>
      <c r="I21" s="229" t="s">
        <v>241</v>
      </c>
      <c r="J21" s="240">
        <f>3.396+0.006*G15+0.054*G23</f>
        <v>6.0203400000000009</v>
      </c>
      <c r="K21" t="s">
        <v>310</v>
      </c>
      <c r="L21" s="20" t="s">
        <v>607</v>
      </c>
      <c r="M21" s="58"/>
      <c r="P21" s="703"/>
      <c r="Q21" s="626" t="s">
        <v>648</v>
      </c>
      <c r="R21" s="374">
        <v>0</v>
      </c>
      <c r="S21" s="527" t="s">
        <v>22</v>
      </c>
      <c r="T21" s="528" t="s">
        <v>23</v>
      </c>
      <c r="U21" s="528" t="s">
        <v>23</v>
      </c>
      <c r="V21" s="280" t="s">
        <v>24</v>
      </c>
      <c r="AM21" s="987" t="s">
        <v>253</v>
      </c>
      <c r="AN21" s="988"/>
      <c r="AO21" s="988"/>
      <c r="AP21" s="4">
        <f>AP20/AP19</f>
        <v>1.4495301987684888</v>
      </c>
      <c r="AQ21" s="2" t="s">
        <v>254</v>
      </c>
      <c r="AS21" s="223"/>
      <c r="AT21" s="223"/>
      <c r="AU21" s="223"/>
      <c r="AV21" s="223"/>
      <c r="AW21" s="223"/>
      <c r="AX21" s="223"/>
      <c r="AY21" s="223"/>
      <c r="AZ21" s="223"/>
      <c r="BA21" s="223"/>
    </row>
    <row r="22" spans="1:53" x14ac:dyDescent="0.2">
      <c r="A22" s="58"/>
      <c r="B22" s="407" t="s">
        <v>734</v>
      </c>
      <c r="D22" s="212">
        <v>47.7</v>
      </c>
      <c r="E22" s="212" t="s">
        <v>719</v>
      </c>
      <c r="F22" s="15" t="s">
        <v>722</v>
      </c>
      <c r="G22" s="340">
        <f>IF(C22="",D22,C22)</f>
        <v>47.7</v>
      </c>
      <c r="H22" s="58"/>
      <c r="I22" s="229" t="s">
        <v>241</v>
      </c>
      <c r="J22" s="240">
        <f>(55.3+0.735*G15/3.281+76*G21+13.8*G17+0.0379*((G15/3.281)*(G17)))/100</f>
        <v>2.9465975366232748</v>
      </c>
      <c r="K22" t="s">
        <v>350</v>
      </c>
      <c r="L22" s="230" t="s">
        <v>351</v>
      </c>
      <c r="M22" s="58"/>
      <c r="P22" s="703"/>
      <c r="Q22" s="626" t="s">
        <v>649</v>
      </c>
      <c r="R22" s="374">
        <v>0</v>
      </c>
      <c r="S22" s="15">
        <v>0</v>
      </c>
      <c r="T22" s="527" t="s">
        <v>22</v>
      </c>
      <c r="U22" s="527" t="s">
        <v>22</v>
      </c>
      <c r="V22" s="280" t="s">
        <v>20</v>
      </c>
      <c r="AM22" s="987" t="s">
        <v>257</v>
      </c>
      <c r="AN22" s="988"/>
      <c r="AO22" s="988"/>
      <c r="AP22" s="4">
        <f>IF(Input!C8=6,'Tree volume estimation'!U6,'Tree volume estimation'!P6)</f>
        <v>30.379234418603609</v>
      </c>
      <c r="AQ22" s="2" t="s">
        <v>252</v>
      </c>
    </row>
    <row r="23" spans="1:53" ht="17" thickBot="1" x14ac:dyDescent="0.25">
      <c r="A23" s="58"/>
      <c r="B23" s="130" t="s">
        <v>735</v>
      </c>
      <c r="C23" s="413"/>
      <c r="D23" s="336">
        <v>9.7100000000000009</v>
      </c>
      <c r="E23" s="336" t="s">
        <v>719</v>
      </c>
      <c r="F23" s="335" t="s">
        <v>310</v>
      </c>
      <c r="G23" s="414">
        <f>IF(C23="",D23,C23)</f>
        <v>9.7100000000000009</v>
      </c>
      <c r="H23" s="58"/>
      <c r="I23" s="229" t="s">
        <v>242</v>
      </c>
      <c r="J23" s="240">
        <f>-1.1524+2.8313*G15*2/3.281/100+0.9026*G21</f>
        <v>6.2420669003352636</v>
      </c>
      <c r="K23" t="s">
        <v>712</v>
      </c>
      <c r="L23" s="231" t="s">
        <v>352</v>
      </c>
      <c r="M23" s="58"/>
      <c r="P23" s="703"/>
      <c r="Q23" s="626" t="s">
        <v>650</v>
      </c>
      <c r="R23" s="374">
        <v>0</v>
      </c>
      <c r="S23" s="15">
        <v>0</v>
      </c>
      <c r="T23" s="15">
        <v>0</v>
      </c>
      <c r="U23" s="527" t="s">
        <v>22</v>
      </c>
      <c r="V23" s="280" t="s">
        <v>20</v>
      </c>
      <c r="AM23" s="949" t="s">
        <v>815</v>
      </c>
      <c r="AN23" s="950"/>
      <c r="AO23" s="950"/>
      <c r="AP23" s="488">
        <f>AP22/AP21</f>
        <v>20.957986556205316</v>
      </c>
      <c r="AQ23" s="504" t="s">
        <v>238</v>
      </c>
    </row>
    <row r="24" spans="1:53" ht="16" thickBot="1" x14ac:dyDescent="0.25">
      <c r="A24" s="58"/>
      <c r="B24" s="11"/>
      <c r="G24" s="340"/>
      <c r="H24" s="58"/>
      <c r="I24" s="229"/>
      <c r="J24" s="240"/>
      <c r="L24" s="572"/>
      <c r="M24" s="58"/>
      <c r="P24" s="704"/>
      <c r="Q24" s="670" t="s">
        <v>651</v>
      </c>
      <c r="R24" s="371">
        <v>0</v>
      </c>
      <c r="S24" s="214">
        <v>0</v>
      </c>
      <c r="T24" s="214">
        <v>0</v>
      </c>
      <c r="U24" s="214">
        <v>0</v>
      </c>
      <c r="V24" s="372" t="s">
        <v>28</v>
      </c>
      <c r="AA24" s="828" t="s">
        <v>816</v>
      </c>
      <c r="AB24" s="829"/>
      <c r="AC24" s="829"/>
      <c r="AD24" s="829"/>
      <c r="AE24" s="829"/>
      <c r="AF24" s="829"/>
      <c r="AG24" s="829"/>
      <c r="AH24" s="829"/>
      <c r="AI24" s="829"/>
      <c r="AJ24" s="829"/>
      <c r="AK24" s="830"/>
    </row>
    <row r="25" spans="1:53" ht="16" thickBot="1" x14ac:dyDescent="0.25">
      <c r="A25" s="58"/>
      <c r="B25" s="13"/>
      <c r="C25" s="1"/>
      <c r="D25" s="1"/>
      <c r="E25" s="1"/>
      <c r="F25" s="1"/>
      <c r="G25" s="460"/>
      <c r="H25" s="58"/>
      <c r="I25" s="13"/>
      <c r="J25" s="214"/>
      <c r="K25" s="1"/>
      <c r="L25" s="14"/>
      <c r="M25" s="58"/>
      <c r="U25" t="s">
        <v>30</v>
      </c>
      <c r="AA25" s="831" t="s">
        <v>362</v>
      </c>
      <c r="AB25" s="832"/>
      <c r="AC25" s="832"/>
      <c r="AD25" s="832"/>
      <c r="AE25" s="832"/>
      <c r="AF25" s="992"/>
      <c r="AG25" s="832"/>
      <c r="AH25" s="832"/>
      <c r="AI25" s="832"/>
      <c r="AJ25" s="832"/>
      <c r="AK25" s="833"/>
    </row>
    <row r="26" spans="1:53" ht="16" thickBot="1" x14ac:dyDescent="0.25">
      <c r="A26" s="58"/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  <c r="M26" s="58"/>
      <c r="AA26" s="989" t="s">
        <v>817</v>
      </c>
      <c r="AB26" s="990"/>
      <c r="AC26" s="990"/>
      <c r="AD26" s="990"/>
      <c r="AE26" s="991"/>
      <c r="AG26" s="993" t="s">
        <v>818</v>
      </c>
      <c r="AH26" s="994"/>
      <c r="AI26" s="994"/>
      <c r="AJ26" s="995"/>
      <c r="AK26" s="999" t="s">
        <v>358</v>
      </c>
    </row>
    <row r="27" spans="1:53" ht="25" thickBot="1" x14ac:dyDescent="0.35">
      <c r="A27" s="58"/>
      <c r="B27" s="939" t="s">
        <v>147</v>
      </c>
      <c r="C27" s="940"/>
      <c r="D27" s="940"/>
      <c r="E27" s="940"/>
      <c r="F27" s="940"/>
      <c r="G27" s="941"/>
      <c r="H27" s="58"/>
      <c r="I27" s="939" t="s">
        <v>147</v>
      </c>
      <c r="J27" s="940"/>
      <c r="K27" s="940"/>
      <c r="L27" s="941"/>
      <c r="M27" s="58"/>
      <c r="P27" s="708" t="s">
        <v>405</v>
      </c>
      <c r="Q27" s="709"/>
      <c r="R27" s="709"/>
      <c r="S27" s="709"/>
      <c r="T27" s="709"/>
      <c r="U27" s="710"/>
      <c r="AA27" s="533" t="s">
        <v>287</v>
      </c>
      <c r="AB27" s="619" t="s">
        <v>354</v>
      </c>
      <c r="AC27" s="619" t="s">
        <v>355</v>
      </c>
      <c r="AD27" s="619" t="s">
        <v>356</v>
      </c>
      <c r="AE27" s="620" t="s">
        <v>357</v>
      </c>
      <c r="AF27" s="223"/>
      <c r="AG27" s="996"/>
      <c r="AH27" s="997"/>
      <c r="AI27" s="997"/>
      <c r="AJ27" s="998"/>
      <c r="AK27" s="1000"/>
      <c r="AL27" s="223"/>
    </row>
    <row r="28" spans="1:53" x14ac:dyDescent="0.2">
      <c r="A28" s="58"/>
      <c r="B28" s="328" t="s">
        <v>259</v>
      </c>
      <c r="C28" s="219" t="s">
        <v>166</v>
      </c>
      <c r="D28" s="222" t="s">
        <v>260</v>
      </c>
      <c r="E28" s="219" t="s">
        <v>261</v>
      </c>
      <c r="F28" s="222" t="s">
        <v>262</v>
      </c>
      <c r="G28" s="215" t="s">
        <v>263</v>
      </c>
      <c r="H28" s="58"/>
      <c r="I28" s="241" t="s">
        <v>130</v>
      </c>
      <c r="J28" s="220" t="s">
        <v>264</v>
      </c>
      <c r="K28" s="219" t="s">
        <v>688</v>
      </c>
      <c r="L28" s="215" t="s">
        <v>265</v>
      </c>
      <c r="M28" s="58"/>
      <c r="P28" s="711" t="s">
        <v>295</v>
      </c>
      <c r="Q28" s="15" t="s">
        <v>406</v>
      </c>
      <c r="R28" s="15" t="s">
        <v>407</v>
      </c>
      <c r="S28" s="15" t="s">
        <v>408</v>
      </c>
      <c r="T28" s="15" t="s">
        <v>409</v>
      </c>
      <c r="U28" s="280" t="s">
        <v>410</v>
      </c>
      <c r="AA28" s="483">
        <f ca="1">RANDBETWEEN(6,16)</f>
        <v>6</v>
      </c>
      <c r="AB28" s="484">
        <f t="shared" ref="AB28:AB91" ca="1" si="0">10^(-2.729937+1.909478*LOG(AA28)+1.085681*LOG(3.281*(1.3+EXP(4.5503-11.4582*(AA28*2.54)^-0.5994))))/$G$30</f>
        <v>1.0396976224741601</v>
      </c>
      <c r="AC28" s="484">
        <f t="shared" ref="AC28:AC91" ca="1" si="1">-0.01408+0.224122*AA28</f>
        <v>1.3306519999999999</v>
      </c>
      <c r="AD28" s="484">
        <f ca="1">RANDBETWEEN(100,1000)</f>
        <v>570</v>
      </c>
      <c r="AE28" s="485">
        <f t="shared" ref="AE28:AE91" ca="1" si="2">-9.4274*AA28+163.38</f>
        <v>106.81559999999999</v>
      </c>
      <c r="AF28" s="482"/>
      <c r="AG28" s="483">
        <f t="shared" ref="AG28:AG91" ca="1" si="3">20.3761+0.1734*35.86/3.281+0.0244*33.92/3.281+0.026*AD28/3.281</f>
        <v>27.040462084730265</v>
      </c>
      <c r="AH28" s="484">
        <f t="shared" ref="AH28:AH91" ca="1" si="4">(1/(0.0003089+0.0000001165*(AD28/3.281)-0.0000003168*(100/3.281)-0.0000001696*(AD28/3.281)-0.000001496*(AE28)))/100</f>
        <v>76.791150807219907</v>
      </c>
      <c r="AI28" s="484">
        <f t="shared" ref="AI28:AI91" ca="1" si="5">(714.1783+1.4775*(100/3.281)+3.522*(AD28/3.281)+41.9165*(AE28))/100</f>
        <v>58.484147326636396</v>
      </c>
      <c r="AJ28" s="485">
        <f t="shared" ref="AJ28:AJ91" ca="1" si="6">(((11.2+0.853*141.1/3.281)+(103+2.66*AD28+0.0384*AD28*AF28)+(236+1550*0.96-4540*0.96*AB28/35.315)+(21.9+3.04*101.7/3.281)+(36.8+0.65*141.1/3.281)+(-162+852*0.96+5105*0.83*0.021))*(1+0.067))/100</f>
        <v>44.691855012997195</v>
      </c>
      <c r="AK28" s="627">
        <f ca="1">AVERAGE(AG28:AJ28)</f>
        <v>51.751903807895943</v>
      </c>
      <c r="AL28" s="482"/>
    </row>
    <row r="29" spans="1:53" x14ac:dyDescent="0.2">
      <c r="A29" s="58"/>
      <c r="B29" s="11" t="s">
        <v>739</v>
      </c>
      <c r="C29" s="318"/>
      <c r="D29" s="212">
        <f>Input!C10</f>
        <v>350</v>
      </c>
      <c r="E29" s="212" t="s">
        <v>740</v>
      </c>
      <c r="F29" s="15" t="s">
        <v>737</v>
      </c>
      <c r="G29" s="238">
        <f>IF(C29="",D29,C29)</f>
        <v>350</v>
      </c>
      <c r="H29" s="58"/>
      <c r="I29" s="229" t="s">
        <v>243</v>
      </c>
      <c r="J29" s="240">
        <f>15.287+0.0129*(G29)+0.2659*(G31)</f>
        <v>31.837354672466368</v>
      </c>
      <c r="K29" t="s">
        <v>359</v>
      </c>
      <c r="L29" s="20" t="s">
        <v>360</v>
      </c>
      <c r="M29" s="58"/>
      <c r="P29" s="712"/>
      <c r="Q29" s="335">
        <v>1</v>
      </c>
      <c r="R29" s="335">
        <v>2</v>
      </c>
      <c r="S29" s="335">
        <v>3</v>
      </c>
      <c r="T29" s="335">
        <v>4</v>
      </c>
      <c r="U29" s="665">
        <v>5</v>
      </c>
      <c r="AA29" s="483">
        <f t="shared" ref="AA29:AA92" ca="1" si="7">RANDBETWEEN(6,16)</f>
        <v>6</v>
      </c>
      <c r="AB29" s="484">
        <f t="shared" ca="1" si="0"/>
        <v>1.0396976224741601</v>
      </c>
      <c r="AC29" s="484">
        <f t="shared" ca="1" si="1"/>
        <v>1.3306519999999999</v>
      </c>
      <c r="AD29" s="484">
        <f t="shared" ref="AD29:AD92" ca="1" si="8">RANDBETWEEN(100,1000)</f>
        <v>631</v>
      </c>
      <c r="AE29" s="485">
        <f t="shared" ca="1" si="2"/>
        <v>106.81559999999999</v>
      </c>
      <c r="AF29" s="482"/>
      <c r="AG29" s="483">
        <f t="shared" ca="1" si="3"/>
        <v>27.523851295336787</v>
      </c>
      <c r="AH29" s="484">
        <f t="shared" ca="1" si="4"/>
        <v>77.377755359491672</v>
      </c>
      <c r="AI29" s="484">
        <f t="shared" ca="1" si="5"/>
        <v>59.138953788081068</v>
      </c>
      <c r="AJ29" s="485">
        <f t="shared" ca="1" si="6"/>
        <v>46.423169212997188</v>
      </c>
      <c r="AK29" s="627">
        <f t="shared" ref="AK29:AK92" ca="1" si="9">AVERAGE(AG29:AJ29)</f>
        <v>52.615932413976672</v>
      </c>
      <c r="AL29" s="482"/>
    </row>
    <row r="30" spans="1:53" ht="16" thickBot="1" x14ac:dyDescent="0.25">
      <c r="A30" s="58"/>
      <c r="B30" s="233" t="s">
        <v>745</v>
      </c>
      <c r="C30" s="318"/>
      <c r="D30" s="178">
        <f>-0.01408+0.224122*('Tree volume estimation'!E10)</f>
        <v>2.7939777040358744</v>
      </c>
      <c r="E30" s="440" t="s">
        <v>363</v>
      </c>
      <c r="F30" s="15" t="s">
        <v>283</v>
      </c>
      <c r="G30" s="238">
        <f>IF(C30="",D30,C30)</f>
        <v>2.7939777040358744</v>
      </c>
      <c r="H30" s="58"/>
      <c r="I30" s="11"/>
      <c r="J30" s="240"/>
      <c r="L30" s="12"/>
      <c r="M30" s="58"/>
      <c r="P30" s="671" t="s">
        <v>814</v>
      </c>
      <c r="Q30" s="646" t="s">
        <v>298</v>
      </c>
      <c r="R30" s="672" t="s">
        <v>300</v>
      </c>
      <c r="S30" s="673" t="s">
        <v>302</v>
      </c>
      <c r="T30" s="673" t="s">
        <v>305</v>
      </c>
      <c r="U30" s="674" t="s">
        <v>307</v>
      </c>
      <c r="AA30" s="483">
        <f t="shared" ca="1" si="7"/>
        <v>11</v>
      </c>
      <c r="AB30" s="484">
        <f t="shared" ca="1" si="0"/>
        <v>6.5126594683761416</v>
      </c>
      <c r="AC30" s="484">
        <f t="shared" ca="1" si="1"/>
        <v>2.4512619999999998</v>
      </c>
      <c r="AD30" s="484">
        <f t="shared" ca="1" si="8"/>
        <v>938</v>
      </c>
      <c r="AE30" s="485">
        <f t="shared" ca="1" si="2"/>
        <v>59.678599999999989</v>
      </c>
      <c r="AF30" s="482"/>
      <c r="AG30" s="483">
        <f t="shared" ca="1" si="3"/>
        <v>29.956646174946663</v>
      </c>
      <c r="AH30" s="484">
        <f t="shared" ca="1" si="4"/>
        <v>51.338775371232984</v>
      </c>
      <c r="AI30" s="484">
        <f t="shared" ca="1" si="5"/>
        <v>42.676274554614139</v>
      </c>
      <c r="AJ30" s="485">
        <f t="shared" ca="1" si="6"/>
        <v>47.929501406967411</v>
      </c>
      <c r="AK30" s="627">
        <f t="shared" ca="1" si="9"/>
        <v>42.975299376940299</v>
      </c>
      <c r="AL30" s="482"/>
    </row>
    <row r="31" spans="1:53" x14ac:dyDescent="0.2">
      <c r="A31" s="58"/>
      <c r="B31" s="11" t="s">
        <v>744</v>
      </c>
      <c r="C31" s="318"/>
      <c r="D31" s="178">
        <f>-9.4274*'Tree volume estimation'!E10 + 163.38</f>
        <v>45.262710313901337</v>
      </c>
      <c r="E31" s="440" t="s">
        <v>611</v>
      </c>
      <c r="F31" s="15" t="s">
        <v>717</v>
      </c>
      <c r="G31" s="238">
        <f>IF(C31="",D31,C31)</f>
        <v>45.262710313901337</v>
      </c>
      <c r="H31" s="58"/>
      <c r="I31" s="11"/>
      <c r="L31" s="12"/>
      <c r="M31" s="58"/>
      <c r="T31" t="s">
        <v>30</v>
      </c>
      <c r="AA31" s="483">
        <f t="shared" ca="1" si="7"/>
        <v>7</v>
      </c>
      <c r="AB31" s="484">
        <f t="shared" ca="1" si="0"/>
        <v>1.6910619505690725</v>
      </c>
      <c r="AC31" s="484">
        <f t="shared" ca="1" si="1"/>
        <v>1.5547739999999999</v>
      </c>
      <c r="AD31" s="484">
        <f t="shared" ca="1" si="8"/>
        <v>410</v>
      </c>
      <c r="AE31" s="485">
        <f t="shared" ca="1" si="2"/>
        <v>97.388199999999998</v>
      </c>
      <c r="AF31" s="482"/>
      <c r="AG31" s="483">
        <f t="shared" ca="1" si="3"/>
        <v>25.772555958549223</v>
      </c>
      <c r="AH31" s="484">
        <f t="shared" ca="1" si="4"/>
        <v>68.066021016307729</v>
      </c>
      <c r="AI31" s="484">
        <f t="shared" ca="1" si="5"/>
        <v>52.814986060863447</v>
      </c>
      <c r="AJ31" s="485">
        <f t="shared" ca="1" si="6"/>
        <v>39.292961824030471</v>
      </c>
      <c r="AK31" s="627">
        <f t="shared" ca="1" si="9"/>
        <v>46.486631214937717</v>
      </c>
      <c r="AL31" s="482"/>
    </row>
    <row r="32" spans="1:53" ht="16" thickBot="1" x14ac:dyDescent="0.25">
      <c r="A32" s="58"/>
      <c r="B32" s="232" t="s">
        <v>366</v>
      </c>
      <c r="C32" s="318"/>
      <c r="D32" s="227">
        <f>Input!C6</f>
        <v>21</v>
      </c>
      <c r="E32" s="178" t="s">
        <v>659</v>
      </c>
      <c r="F32" s="15" t="s">
        <v>715</v>
      </c>
      <c r="G32" s="251">
        <f>IF(C32="",D32,C32)</f>
        <v>21</v>
      </c>
      <c r="H32" s="58"/>
      <c r="I32" s="11"/>
      <c r="L32" s="12"/>
      <c r="M32" s="58"/>
      <c r="AA32" s="483">
        <f t="shared" ca="1" si="7"/>
        <v>12</v>
      </c>
      <c r="AB32" s="484">
        <f t="shared" ca="1" si="0"/>
        <v>8.3371886632508829</v>
      </c>
      <c r="AC32" s="484">
        <f t="shared" ca="1" si="1"/>
        <v>2.6753840000000002</v>
      </c>
      <c r="AD32" s="484">
        <f t="shared" ca="1" si="8"/>
        <v>621</v>
      </c>
      <c r="AE32" s="485">
        <f t="shared" ca="1" si="2"/>
        <v>50.251199999999983</v>
      </c>
      <c r="AF32" s="482"/>
      <c r="AG32" s="483">
        <f t="shared" ca="1" si="3"/>
        <v>27.444607162450474</v>
      </c>
      <c r="AH32" s="484">
        <f t="shared" ca="1" si="4"/>
        <v>46.724978075564124</v>
      </c>
      <c r="AI32" s="484">
        <f t="shared" ca="1" si="5"/>
        <v>35.32179174053276</v>
      </c>
      <c r="AJ32" s="485">
        <f t="shared" ca="1" si="6"/>
        <v>36.529734939483568</v>
      </c>
      <c r="AK32" s="627">
        <f t="shared" ca="1" si="9"/>
        <v>36.505277979507731</v>
      </c>
      <c r="AL32" s="482"/>
    </row>
    <row r="33" spans="1:43" ht="16" thickBot="1" x14ac:dyDescent="0.25">
      <c r="A33" s="58"/>
      <c r="B33" s="11"/>
      <c r="C33" s="223"/>
      <c r="G33" s="237"/>
      <c r="H33" s="58"/>
      <c r="I33" s="11"/>
      <c r="L33" s="12"/>
      <c r="M33" s="58"/>
      <c r="P33" s="971" t="s">
        <v>419</v>
      </c>
      <c r="Q33" s="972"/>
      <c r="R33" s="972"/>
      <c r="S33" s="972"/>
      <c r="T33" s="972"/>
      <c r="U33" s="972"/>
      <c r="V33" s="973"/>
      <c r="AA33" s="483">
        <f t="shared" ca="1" si="7"/>
        <v>12</v>
      </c>
      <c r="AB33" s="484">
        <f t="shared" ca="1" si="0"/>
        <v>8.3371886632508829</v>
      </c>
      <c r="AC33" s="484">
        <f t="shared" ca="1" si="1"/>
        <v>2.6753840000000002</v>
      </c>
      <c r="AD33" s="484">
        <f t="shared" ca="1" si="8"/>
        <v>868</v>
      </c>
      <c r="AE33" s="485">
        <f t="shared" ca="1" si="2"/>
        <v>50.251199999999983</v>
      </c>
      <c r="AF33" s="482"/>
      <c r="AG33" s="483">
        <f t="shared" ca="1" si="3"/>
        <v>29.401937244742456</v>
      </c>
      <c r="AH33" s="484">
        <f t="shared" ca="1" si="4"/>
        <v>47.614326616595854</v>
      </c>
      <c r="AI33" s="484">
        <f t="shared" ca="1" si="5"/>
        <v>37.973221182775973</v>
      </c>
      <c r="AJ33" s="485">
        <f t="shared" ca="1" si="6"/>
        <v>43.540138339483562</v>
      </c>
      <c r="AK33" s="627">
        <f t="shared" ca="1" si="9"/>
        <v>39.632405845899456</v>
      </c>
      <c r="AL33" s="482"/>
    </row>
    <row r="34" spans="1:43" x14ac:dyDescent="0.2">
      <c r="A34" s="58"/>
      <c r="B34" s="942" t="s">
        <v>275</v>
      </c>
      <c r="C34" s="943"/>
      <c r="D34" s="943"/>
      <c r="E34" s="943"/>
      <c r="F34" s="943"/>
      <c r="G34" s="944"/>
      <c r="H34" s="58"/>
      <c r="I34" s="942" t="s">
        <v>369</v>
      </c>
      <c r="J34" s="943"/>
      <c r="K34" s="943"/>
      <c r="L34" s="944"/>
      <c r="M34" s="58"/>
      <c r="P34" s="351"/>
      <c r="Q34" s="10"/>
      <c r="R34" s="741" t="s">
        <v>421</v>
      </c>
      <c r="S34" s="754"/>
      <c r="T34" s="754"/>
      <c r="U34" s="754"/>
      <c r="V34" s="742"/>
      <c r="AA34" s="483">
        <f t="shared" ca="1" si="7"/>
        <v>7</v>
      </c>
      <c r="AB34" s="484">
        <f t="shared" ca="1" si="0"/>
        <v>1.6910619505690725</v>
      </c>
      <c r="AC34" s="484">
        <f t="shared" ca="1" si="1"/>
        <v>1.5547739999999999</v>
      </c>
      <c r="AD34" s="484">
        <f t="shared" ca="1" si="8"/>
        <v>961</v>
      </c>
      <c r="AE34" s="485">
        <f t="shared" ca="1" si="2"/>
        <v>97.388199999999998</v>
      </c>
      <c r="AF34" s="482"/>
      <c r="AG34" s="483">
        <f t="shared" ca="1" si="3"/>
        <v>30.138907680585188</v>
      </c>
      <c r="AH34" s="484">
        <f t="shared" ca="1" si="4"/>
        <v>72.464424866815975</v>
      </c>
      <c r="AI34" s="484">
        <f t="shared" ca="1" si="5"/>
        <v>58.729713278175247</v>
      </c>
      <c r="AJ34" s="485">
        <f t="shared" ca="1" si="6"/>
        <v>54.931554024030483</v>
      </c>
      <c r="AK34" s="627">
        <f t="shared" ca="1" si="9"/>
        <v>54.066149962401724</v>
      </c>
      <c r="AL34" s="482"/>
    </row>
    <row r="35" spans="1:43" x14ac:dyDescent="0.2">
      <c r="A35" s="58"/>
      <c r="B35" s="407" t="s">
        <v>743</v>
      </c>
      <c r="D35" s="228">
        <v>35.86</v>
      </c>
      <c r="E35" s="212" t="s">
        <v>719</v>
      </c>
      <c r="F35" s="15" t="s">
        <v>371</v>
      </c>
      <c r="G35" s="338">
        <f t="shared" ref="G35:G42" si="10">IF(C35="",D35,C35)</f>
        <v>35.86</v>
      </c>
      <c r="H35" s="58"/>
      <c r="I35" s="229" t="s">
        <v>243</v>
      </c>
      <c r="J35" s="240">
        <f>20.3761+0.1734*G35/3.281+0.0244*G36/3.281+0.026*G29/3.281</f>
        <v>25.297091161231332</v>
      </c>
      <c r="K35" t="s">
        <v>371</v>
      </c>
      <c r="L35" s="230" t="s">
        <v>372</v>
      </c>
      <c r="M35" s="58"/>
      <c r="P35" s="351"/>
      <c r="Q35" s="10"/>
      <c r="R35" s="675">
        <v>1</v>
      </c>
      <c r="S35" s="676">
        <v>2</v>
      </c>
      <c r="T35" s="676">
        <v>3</v>
      </c>
      <c r="U35" s="676">
        <v>4</v>
      </c>
      <c r="V35" s="677">
        <v>5</v>
      </c>
      <c r="AA35" s="483">
        <f t="shared" ca="1" si="7"/>
        <v>13</v>
      </c>
      <c r="AB35" s="484">
        <f t="shared" ca="1" si="0"/>
        <v>10.42900695605948</v>
      </c>
      <c r="AC35" s="484">
        <f t="shared" ca="1" si="1"/>
        <v>2.8995060000000001</v>
      </c>
      <c r="AD35" s="484">
        <f t="shared" ca="1" si="8"/>
        <v>178</v>
      </c>
      <c r="AE35" s="485">
        <f t="shared" ca="1" si="2"/>
        <v>40.823799999999991</v>
      </c>
      <c r="AF35" s="482"/>
      <c r="AG35" s="483">
        <f t="shared" ca="1" si="3"/>
        <v>23.934092075586712</v>
      </c>
      <c r="AH35" s="484">
        <f t="shared" ca="1" si="4"/>
        <v>42.500520804729142</v>
      </c>
      <c r="AI35" s="484">
        <f t="shared" ca="1" si="5"/>
        <v>26.614757874942697</v>
      </c>
      <c r="AJ35" s="485">
        <f t="shared" ca="1" si="6"/>
        <v>21.201834876039911</v>
      </c>
      <c r="AK35" s="627">
        <f t="shared" ca="1" si="9"/>
        <v>28.562801407824615</v>
      </c>
      <c r="AL35" s="482"/>
    </row>
    <row r="36" spans="1:43" x14ac:dyDescent="0.2">
      <c r="A36" s="58"/>
      <c r="B36" s="407" t="s">
        <v>742</v>
      </c>
      <c r="D36" s="228">
        <v>33.92</v>
      </c>
      <c r="E36" s="212" t="s">
        <v>719</v>
      </c>
      <c r="F36" s="15" t="s">
        <v>371</v>
      </c>
      <c r="G36" s="338">
        <f t="shared" si="10"/>
        <v>33.92</v>
      </c>
      <c r="H36" s="58"/>
      <c r="I36" s="229" t="s">
        <v>243</v>
      </c>
      <c r="J36" s="240">
        <f>(1/(0.0003089+0.0000001165*(G29/3.281)-0.0000003168*(G37/3.281)-0.0000001696*(G29/3.281)-0.000001496*(G31)))/100</f>
        <v>44.273850218179042</v>
      </c>
      <c r="K36" t="s">
        <v>318</v>
      </c>
      <c r="L36" s="20" t="s">
        <v>373</v>
      </c>
      <c r="M36" s="58"/>
      <c r="P36" s="968" t="s">
        <v>425</v>
      </c>
      <c r="Q36" s="525">
        <v>1</v>
      </c>
      <c r="R36" s="678">
        <v>1</v>
      </c>
      <c r="S36" s="679">
        <v>1</v>
      </c>
      <c r="T36" s="679">
        <v>1.075</v>
      </c>
      <c r="U36" s="679">
        <v>1.4285000000000001</v>
      </c>
      <c r="V36" s="623" t="s">
        <v>281</v>
      </c>
      <c r="AA36" s="483">
        <f t="shared" ca="1" si="7"/>
        <v>9</v>
      </c>
      <c r="AB36" s="484">
        <f t="shared" ca="1" si="0"/>
        <v>3.6293567322283229</v>
      </c>
      <c r="AC36" s="484">
        <f t="shared" ca="1" si="1"/>
        <v>2.003018</v>
      </c>
      <c r="AD36" s="484">
        <f t="shared" ca="1" si="8"/>
        <v>446</v>
      </c>
      <c r="AE36" s="485">
        <f t="shared" ca="1" si="2"/>
        <v>78.533399999999986</v>
      </c>
      <c r="AF36" s="482"/>
      <c r="AG36" s="483">
        <f t="shared" ca="1" si="3"/>
        <v>26.057834836939957</v>
      </c>
      <c r="AH36" s="484">
        <f t="shared" ca="1" si="4"/>
        <v>57.29334661141641</v>
      </c>
      <c r="AI36" s="484">
        <f t="shared" ca="1" si="5"/>
        <v>45.298156976437355</v>
      </c>
      <c r="AJ36" s="485">
        <f t="shared" ca="1" si="6"/>
        <v>37.762301128008566</v>
      </c>
      <c r="AK36" s="627">
        <f t="shared" ca="1" si="9"/>
        <v>41.602909888200571</v>
      </c>
      <c r="AL36" s="482"/>
    </row>
    <row r="37" spans="1:43" x14ac:dyDescent="0.2">
      <c r="A37" s="58"/>
      <c r="B37" s="407" t="s">
        <v>741</v>
      </c>
      <c r="D37" s="178">
        <v>100</v>
      </c>
      <c r="E37" s="212" t="s">
        <v>719</v>
      </c>
      <c r="F37" s="15" t="s">
        <v>716</v>
      </c>
      <c r="G37" s="338">
        <f t="shared" si="10"/>
        <v>100</v>
      </c>
      <c r="H37" s="58"/>
      <c r="I37" s="229" t="s">
        <v>243</v>
      </c>
      <c r="J37" s="240">
        <f>(714.1783+1.4775*(G37/3.281)+3.522*(G29/3.281)+41.9165*(G31))/100</f>
        <v>30.321733247300063</v>
      </c>
      <c r="K37" t="s">
        <v>318</v>
      </c>
      <c r="L37" s="20" t="s">
        <v>375</v>
      </c>
      <c r="M37" s="58"/>
      <c r="P37" s="969"/>
      <c r="Q37" s="689">
        <v>2</v>
      </c>
      <c r="R37" s="680">
        <v>1.075</v>
      </c>
      <c r="S37" s="570">
        <v>1.19</v>
      </c>
      <c r="T37" s="570">
        <v>1.4285000000000001</v>
      </c>
      <c r="U37" s="570">
        <v>1.8520000000000001</v>
      </c>
      <c r="V37" s="57" t="s">
        <v>281</v>
      </c>
      <c r="AA37" s="483">
        <f t="shared" ca="1" si="7"/>
        <v>12</v>
      </c>
      <c r="AB37" s="484">
        <f t="shared" ca="1" si="0"/>
        <v>8.3371886632508829</v>
      </c>
      <c r="AC37" s="484">
        <f t="shared" ca="1" si="1"/>
        <v>2.6753840000000002</v>
      </c>
      <c r="AD37" s="484">
        <f t="shared" ca="1" si="8"/>
        <v>647</v>
      </c>
      <c r="AE37" s="485">
        <f t="shared" ca="1" si="2"/>
        <v>50.251199999999983</v>
      </c>
      <c r="AF37" s="482"/>
      <c r="AG37" s="483">
        <f t="shared" ca="1" si="3"/>
        <v>27.650641907954892</v>
      </c>
      <c r="AH37" s="484">
        <f t="shared" ca="1" si="4"/>
        <v>46.817026120397543</v>
      </c>
      <c r="AI37" s="484">
        <f t="shared" ca="1" si="5"/>
        <v>35.600889576558359</v>
      </c>
      <c r="AJ37" s="485">
        <f t="shared" ca="1" si="6"/>
        <v>37.267672139483558</v>
      </c>
      <c r="AK37" s="627">
        <f t="shared" ca="1" si="9"/>
        <v>36.83405743609859</v>
      </c>
      <c r="AL37" s="482"/>
    </row>
    <row r="38" spans="1:43" x14ac:dyDescent="0.2">
      <c r="A38" s="58"/>
      <c r="B38" s="407" t="s">
        <v>380</v>
      </c>
      <c r="C38" s="15"/>
      <c r="D38" s="212">
        <v>0.96</v>
      </c>
      <c r="E38" s="212" t="s">
        <v>719</v>
      </c>
      <c r="F38" s="15" t="s">
        <v>321</v>
      </c>
      <c r="G38" s="339">
        <f t="shared" si="10"/>
        <v>0.96</v>
      </c>
      <c r="H38" s="58"/>
      <c r="I38" s="229" t="s">
        <v>243</v>
      </c>
      <c r="J38" s="240">
        <f>(((11.2+0.853*G41/3.281)+(103+2.66*G29/3.281+0.0384*G29*G32)+(236+1550*G38-4540*G38*G39/35.315)+(21.9+3.04*G40/3.281)+(36.8+0.65*G41/3.281)+(-162+852*G38+5105*0.83*0.021))*(1+G42))/100</f>
        <v>22.389185153114255</v>
      </c>
      <c r="K38" t="s">
        <v>321</v>
      </c>
      <c r="L38" s="20" t="s">
        <v>382</v>
      </c>
      <c r="M38" s="58"/>
      <c r="P38" s="969"/>
      <c r="Q38" s="689">
        <v>3</v>
      </c>
      <c r="R38" s="680">
        <v>1.1764699999999999</v>
      </c>
      <c r="S38" s="570">
        <v>1.4492750000000001</v>
      </c>
      <c r="T38" s="570">
        <v>1.7857000000000001</v>
      </c>
      <c r="U38" s="570">
        <v>2.222</v>
      </c>
      <c r="V38" s="57" t="s">
        <v>281</v>
      </c>
      <c r="AA38" s="483">
        <f t="shared" ca="1" si="7"/>
        <v>7</v>
      </c>
      <c r="AB38" s="484">
        <f t="shared" ca="1" si="0"/>
        <v>1.6910619505690725</v>
      </c>
      <c r="AC38" s="484">
        <f t="shared" ca="1" si="1"/>
        <v>1.5547739999999999</v>
      </c>
      <c r="AD38" s="484">
        <f t="shared" ca="1" si="8"/>
        <v>274</v>
      </c>
      <c r="AE38" s="485">
        <f t="shared" ca="1" si="2"/>
        <v>97.388199999999998</v>
      </c>
      <c r="AF38" s="482"/>
      <c r="AG38" s="483">
        <f t="shared" ca="1" si="3"/>
        <v>24.694835751295336</v>
      </c>
      <c r="AH38" s="484">
        <f t="shared" ca="1" si="4"/>
        <v>67.061336368200386</v>
      </c>
      <c r="AI38" s="484">
        <f t="shared" ca="1" si="5"/>
        <v>51.355089687806455</v>
      </c>
      <c r="AJ38" s="485">
        <f t="shared" ca="1" si="6"/>
        <v>35.432982624030473</v>
      </c>
      <c r="AK38" s="627">
        <f t="shared" ca="1" si="9"/>
        <v>44.636061107833164</v>
      </c>
      <c r="AL38" s="482"/>
    </row>
    <row r="39" spans="1:43" x14ac:dyDescent="0.2">
      <c r="A39" s="58"/>
      <c r="B39" s="407" t="s">
        <v>384</v>
      </c>
      <c r="C39" s="15"/>
      <c r="D39" s="178">
        <f>IF(Input!C8=4,'Tree volume estimation'!P7,'Tree volume estimation'!U7)/G30</f>
        <v>10.276964140735153</v>
      </c>
      <c r="E39" s="212" t="s">
        <v>385</v>
      </c>
      <c r="F39" s="15" t="s">
        <v>716</v>
      </c>
      <c r="G39" s="339">
        <f t="shared" si="10"/>
        <v>10.276964140735153</v>
      </c>
      <c r="H39" s="58"/>
      <c r="I39" s="229" t="s">
        <v>243</v>
      </c>
      <c r="J39" s="307">
        <f>(573.676-59.659*G43-122.81*G44+0.2707*G39*G31-0.086*G29-0.062*G37-0.042*G29)/'Tree volume estimation'!$E$15</f>
        <v>13.970849096544276</v>
      </c>
      <c r="K39" t="s">
        <v>386</v>
      </c>
      <c r="L39" s="20" t="s">
        <v>387</v>
      </c>
      <c r="M39" s="58"/>
      <c r="P39" s="969"/>
      <c r="Q39" s="689">
        <v>4</v>
      </c>
      <c r="R39" s="680">
        <v>1.639</v>
      </c>
      <c r="S39" s="570">
        <v>1.7543</v>
      </c>
      <c r="T39" s="570">
        <v>1.8520000000000001</v>
      </c>
      <c r="U39" s="570" t="s">
        <v>281</v>
      </c>
      <c r="V39" s="57" t="s">
        <v>281</v>
      </c>
      <c r="AA39" s="483">
        <f t="shared" ca="1" si="7"/>
        <v>12</v>
      </c>
      <c r="AB39" s="484">
        <f t="shared" ca="1" si="0"/>
        <v>8.3371886632508829</v>
      </c>
      <c r="AC39" s="484">
        <f t="shared" ca="1" si="1"/>
        <v>2.6753840000000002</v>
      </c>
      <c r="AD39" s="484">
        <f t="shared" ca="1" si="8"/>
        <v>653</v>
      </c>
      <c r="AE39" s="485">
        <f t="shared" ca="1" si="2"/>
        <v>50.251199999999983</v>
      </c>
      <c r="AF39" s="482"/>
      <c r="AG39" s="483">
        <f t="shared" ca="1" si="3"/>
        <v>27.698188387686681</v>
      </c>
      <c r="AH39" s="484">
        <f t="shared" ca="1" si="4"/>
        <v>46.838319503563788</v>
      </c>
      <c r="AI39" s="484">
        <f t="shared" ca="1" si="5"/>
        <v>35.665296769487348</v>
      </c>
      <c r="AJ39" s="485">
        <f t="shared" ca="1" si="6"/>
        <v>37.437965339483561</v>
      </c>
      <c r="AK39" s="627">
        <f t="shared" ca="1" si="9"/>
        <v>36.909942500055344</v>
      </c>
      <c r="AL39" s="482"/>
    </row>
    <row r="40" spans="1:43" ht="16" thickBot="1" x14ac:dyDescent="0.25">
      <c r="A40" s="58"/>
      <c r="B40" s="407" t="s">
        <v>389</v>
      </c>
      <c r="C40" s="15"/>
      <c r="D40" s="212">
        <v>101.7</v>
      </c>
      <c r="E40" s="212" t="s">
        <v>719</v>
      </c>
      <c r="F40" s="15" t="s">
        <v>321</v>
      </c>
      <c r="G40" s="331">
        <f t="shared" si="10"/>
        <v>101.7</v>
      </c>
      <c r="H40" s="58"/>
      <c r="I40" s="11"/>
      <c r="L40" s="12"/>
      <c r="M40" s="58"/>
      <c r="P40" s="970"/>
      <c r="Q40" s="686">
        <v>5</v>
      </c>
      <c r="R40" s="681">
        <v>2.222</v>
      </c>
      <c r="S40" s="682">
        <v>2.5</v>
      </c>
      <c r="T40" s="682" t="s">
        <v>281</v>
      </c>
      <c r="U40" s="682" t="s">
        <v>281</v>
      </c>
      <c r="V40" s="683" t="s">
        <v>281</v>
      </c>
      <c r="AA40" s="483">
        <f t="shared" ca="1" si="7"/>
        <v>15</v>
      </c>
      <c r="AB40" s="484">
        <f t="shared" ca="1" si="0"/>
        <v>15.443787118411857</v>
      </c>
      <c r="AC40" s="484">
        <f t="shared" ca="1" si="1"/>
        <v>3.34775</v>
      </c>
      <c r="AD40" s="484">
        <f t="shared" ca="1" si="8"/>
        <v>535</v>
      </c>
      <c r="AE40" s="485">
        <f t="shared" ca="1" si="2"/>
        <v>21.968999999999994</v>
      </c>
      <c r="AF40" s="482"/>
      <c r="AG40" s="483">
        <f t="shared" ca="1" si="3"/>
        <v>26.763107619628162</v>
      </c>
      <c r="AH40" s="484">
        <f t="shared" ca="1" si="4"/>
        <v>38.801755999955155</v>
      </c>
      <c r="AI40" s="484">
        <f t="shared" ca="1" si="5"/>
        <v>22.543713612217307</v>
      </c>
      <c r="AJ40" s="485">
        <f t="shared" ca="1" si="6"/>
        <v>24.730628044356617</v>
      </c>
      <c r="AK40" s="627">
        <f t="shared" ca="1" si="9"/>
        <v>28.209801319039311</v>
      </c>
      <c r="AL40" s="482"/>
    </row>
    <row r="41" spans="1:43" x14ac:dyDescent="0.2">
      <c r="A41" s="58"/>
      <c r="B41" s="407" t="s">
        <v>391</v>
      </c>
      <c r="C41" s="15"/>
      <c r="D41" s="212">
        <v>141.1</v>
      </c>
      <c r="E41" s="212" t="s">
        <v>719</v>
      </c>
      <c r="F41" s="15" t="s">
        <v>321</v>
      </c>
      <c r="G41" s="331">
        <f t="shared" si="10"/>
        <v>141.1</v>
      </c>
      <c r="H41" s="58"/>
      <c r="I41" s="11"/>
      <c r="L41" s="12"/>
      <c r="M41" s="58"/>
      <c r="U41" t="s">
        <v>30</v>
      </c>
      <c r="AA41" s="483">
        <f t="shared" ca="1" si="7"/>
        <v>15</v>
      </c>
      <c r="AB41" s="484">
        <f t="shared" ca="1" si="0"/>
        <v>15.443787118411857</v>
      </c>
      <c r="AC41" s="484">
        <f t="shared" ca="1" si="1"/>
        <v>3.34775</v>
      </c>
      <c r="AD41" s="484">
        <f t="shared" ca="1" si="8"/>
        <v>576</v>
      </c>
      <c r="AE41" s="485">
        <f t="shared" ca="1" si="2"/>
        <v>21.968999999999994</v>
      </c>
      <c r="AF41" s="482"/>
      <c r="AG41" s="483">
        <f t="shared" ca="1" si="3"/>
        <v>27.088008564462054</v>
      </c>
      <c r="AH41" s="484">
        <f t="shared" ca="1" si="4"/>
        <v>38.901916047040437</v>
      </c>
      <c r="AI41" s="484">
        <f t="shared" ca="1" si="5"/>
        <v>22.983829430565375</v>
      </c>
      <c r="AJ41" s="485">
        <f t="shared" ca="1" si="6"/>
        <v>25.894298244356616</v>
      </c>
      <c r="AK41" s="627">
        <f t="shared" ca="1" si="9"/>
        <v>28.717013071606122</v>
      </c>
      <c r="AL41" s="482"/>
    </row>
    <row r="42" spans="1:43" ht="16" thickBot="1" x14ac:dyDescent="0.25">
      <c r="A42" s="58"/>
      <c r="B42" s="407" t="s">
        <v>392</v>
      </c>
      <c r="C42" s="15"/>
      <c r="D42" s="212">
        <v>6.7000000000000004E-2</v>
      </c>
      <c r="E42" s="212" t="s">
        <v>719</v>
      </c>
      <c r="F42" s="15" t="s">
        <v>321</v>
      </c>
      <c r="G42" s="331">
        <f t="shared" si="10"/>
        <v>6.7000000000000004E-2</v>
      </c>
      <c r="H42" s="58"/>
      <c r="I42" s="229"/>
      <c r="L42" s="12"/>
      <c r="M42" s="58"/>
      <c r="AA42" s="483">
        <f t="shared" ca="1" si="7"/>
        <v>12</v>
      </c>
      <c r="AB42" s="484">
        <f t="shared" ca="1" si="0"/>
        <v>8.3371886632508829</v>
      </c>
      <c r="AC42" s="484">
        <f t="shared" ca="1" si="1"/>
        <v>2.6753840000000002</v>
      </c>
      <c r="AD42" s="484">
        <f t="shared" ca="1" si="8"/>
        <v>685</v>
      </c>
      <c r="AE42" s="485">
        <f t="shared" ca="1" si="2"/>
        <v>50.251199999999983</v>
      </c>
      <c r="AF42" s="482"/>
      <c r="AG42" s="483">
        <f t="shared" ca="1" si="3"/>
        <v>27.951769612922888</v>
      </c>
      <c r="AH42" s="484">
        <f t="shared" ca="1" si="4"/>
        <v>46.952212136379458</v>
      </c>
      <c r="AI42" s="484">
        <f t="shared" ca="1" si="5"/>
        <v>36.00880179844193</v>
      </c>
      <c r="AJ42" s="485">
        <f t="shared" ca="1" si="6"/>
        <v>38.346195739483562</v>
      </c>
      <c r="AK42" s="627">
        <f t="shared" ca="1" si="9"/>
        <v>37.314744821806961</v>
      </c>
      <c r="AL42" s="482"/>
    </row>
    <row r="43" spans="1:43" ht="16" thickBot="1" x14ac:dyDescent="0.25">
      <c r="A43" s="58"/>
      <c r="B43" s="407" t="s">
        <v>400</v>
      </c>
      <c r="C43" s="15"/>
      <c r="D43" s="212">
        <v>1</v>
      </c>
      <c r="E43" s="212" t="s">
        <v>401</v>
      </c>
      <c r="F43" s="15" t="s">
        <v>386</v>
      </c>
      <c r="G43" s="330">
        <f>IF(C43="",D43,C43)</f>
        <v>1</v>
      </c>
      <c r="H43" s="58"/>
      <c r="I43" s="11"/>
      <c r="L43" s="12"/>
      <c r="M43" s="58"/>
      <c r="P43" s="954" t="s">
        <v>819</v>
      </c>
      <c r="Q43" s="955"/>
      <c r="R43" s="955"/>
      <c r="S43" s="956"/>
      <c r="AA43" s="483">
        <f t="shared" ca="1" si="7"/>
        <v>11</v>
      </c>
      <c r="AB43" s="484">
        <f t="shared" ca="1" si="0"/>
        <v>6.5126594683761416</v>
      </c>
      <c r="AC43" s="484">
        <f t="shared" ca="1" si="1"/>
        <v>2.4512619999999998</v>
      </c>
      <c r="AD43" s="484">
        <f t="shared" ca="1" si="8"/>
        <v>689</v>
      </c>
      <c r="AE43" s="485">
        <f t="shared" ca="1" si="2"/>
        <v>59.678599999999989</v>
      </c>
      <c r="AF43" s="482"/>
      <c r="AG43" s="483">
        <f t="shared" ca="1" si="3"/>
        <v>27.983467266077415</v>
      </c>
      <c r="AH43" s="484">
        <f t="shared" ca="1" si="4"/>
        <v>50.298171728245073</v>
      </c>
      <c r="AI43" s="484">
        <f t="shared" ca="1" si="5"/>
        <v>40.003376048061256</v>
      </c>
      <c r="AJ43" s="485">
        <f t="shared" ca="1" si="6"/>
        <v>40.862333606967404</v>
      </c>
      <c r="AK43" s="627">
        <f t="shared" ca="1" si="9"/>
        <v>39.78683716233779</v>
      </c>
      <c r="AL43" s="482"/>
    </row>
    <row r="44" spans="1:43" ht="16" thickBot="1" x14ac:dyDescent="0.25">
      <c r="A44" s="58"/>
      <c r="B44" s="458" t="s">
        <v>403</v>
      </c>
      <c r="C44" s="214"/>
      <c r="D44" s="444">
        <v>0</v>
      </c>
      <c r="E44" s="444" t="s">
        <v>404</v>
      </c>
      <c r="F44" s="214" t="s">
        <v>386</v>
      </c>
      <c r="G44" s="459">
        <f>IF(C44="",D44,C44)</f>
        <v>0</v>
      </c>
      <c r="H44" s="58"/>
      <c r="I44" s="13"/>
      <c r="J44" s="214"/>
      <c r="K44" s="1"/>
      <c r="L44" s="14"/>
      <c r="M44" s="58"/>
      <c r="P44" s="957" t="s">
        <v>332</v>
      </c>
      <c r="Q44" s="957"/>
      <c r="R44" s="957"/>
      <c r="S44" s="957"/>
      <c r="AA44" s="483">
        <f t="shared" ca="1" si="7"/>
        <v>13</v>
      </c>
      <c r="AB44" s="484">
        <f t="shared" ca="1" si="0"/>
        <v>10.42900695605948</v>
      </c>
      <c r="AC44" s="484">
        <f t="shared" ca="1" si="1"/>
        <v>2.8995060000000001</v>
      </c>
      <c r="AD44" s="484">
        <f t="shared" ca="1" si="8"/>
        <v>462</v>
      </c>
      <c r="AE44" s="485">
        <f t="shared" ca="1" si="2"/>
        <v>40.823799999999991</v>
      </c>
      <c r="AF44" s="482"/>
      <c r="AG44" s="483">
        <f t="shared" ca="1" si="3"/>
        <v>26.184625449558062</v>
      </c>
      <c r="AH44" s="484">
        <f t="shared" ca="1" si="4"/>
        <v>43.347285592514424</v>
      </c>
      <c r="AI44" s="484">
        <f t="shared" ca="1" si="5"/>
        <v>29.663365006914656</v>
      </c>
      <c r="AJ44" s="485">
        <f t="shared" ca="1" si="6"/>
        <v>29.26237967603991</v>
      </c>
      <c r="AK44" s="627">
        <f t="shared" ca="1" si="9"/>
        <v>32.114413931256763</v>
      </c>
      <c r="AL44" s="482"/>
    </row>
    <row r="45" spans="1:43" ht="17" thickBot="1" x14ac:dyDescent="0.25">
      <c r="A45" s="58"/>
      <c r="B45" s="58"/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8"/>
      <c r="P45" s="958" t="s">
        <v>331</v>
      </c>
      <c r="Q45" s="959"/>
      <c r="R45" s="959"/>
      <c r="S45" s="960"/>
      <c r="AA45" s="483">
        <f t="shared" ca="1" si="7"/>
        <v>11</v>
      </c>
      <c r="AB45" s="484">
        <f t="shared" ca="1" si="0"/>
        <v>6.5126594683761416</v>
      </c>
      <c r="AC45" s="484">
        <f t="shared" ca="1" si="1"/>
        <v>2.4512619999999998</v>
      </c>
      <c r="AD45" s="484">
        <f t="shared" ca="1" si="8"/>
        <v>498</v>
      </c>
      <c r="AE45" s="485">
        <f t="shared" ca="1" si="2"/>
        <v>59.678599999999989</v>
      </c>
      <c r="AF45" s="482"/>
      <c r="AG45" s="483">
        <f t="shared" ca="1" si="3"/>
        <v>26.469904327948797</v>
      </c>
      <c r="AH45" s="484">
        <f t="shared" ca="1" si="4"/>
        <v>49.528109872286279</v>
      </c>
      <c r="AI45" s="484">
        <f t="shared" ca="1" si="5"/>
        <v>37.953080406488567</v>
      </c>
      <c r="AJ45" s="485">
        <f t="shared" ca="1" si="6"/>
        <v>35.441333406967402</v>
      </c>
      <c r="AK45" s="627">
        <f t="shared" ca="1" si="9"/>
        <v>37.348107003422761</v>
      </c>
      <c r="AL45" s="482"/>
    </row>
    <row r="46" spans="1:43" ht="24" x14ac:dyDescent="0.3">
      <c r="A46" s="58"/>
      <c r="B46" s="939" t="s">
        <v>176</v>
      </c>
      <c r="C46" s="940"/>
      <c r="D46" s="940"/>
      <c r="E46" s="940"/>
      <c r="F46" s="940"/>
      <c r="G46" s="941"/>
      <c r="H46" s="58"/>
      <c r="I46" s="939" t="s">
        <v>176</v>
      </c>
      <c r="J46" s="940"/>
      <c r="K46" s="940"/>
      <c r="L46" s="941"/>
      <c r="M46" s="58"/>
      <c r="P46" s="966" t="s">
        <v>287</v>
      </c>
      <c r="Q46" s="967"/>
      <c r="R46" s="964" t="s">
        <v>245</v>
      </c>
      <c r="S46" s="965"/>
      <c r="AA46" s="483">
        <f t="shared" ca="1" si="7"/>
        <v>10</v>
      </c>
      <c r="AB46" s="484">
        <f t="shared" ca="1" si="0"/>
        <v>4.9467360247874907</v>
      </c>
      <c r="AC46" s="484">
        <f t="shared" ca="1" si="1"/>
        <v>2.2271399999999999</v>
      </c>
      <c r="AD46" s="484">
        <f t="shared" ca="1" si="8"/>
        <v>859</v>
      </c>
      <c r="AE46" s="485">
        <f t="shared" ca="1" si="2"/>
        <v>69.105999999999995</v>
      </c>
      <c r="AF46" s="482"/>
      <c r="AG46" s="483">
        <f t="shared" ca="1" si="3"/>
        <v>29.330617525144774</v>
      </c>
      <c r="AH46" s="484">
        <f t="shared" ca="1" si="4"/>
        <v>54.957224740225968</v>
      </c>
      <c r="AI46" s="484">
        <f t="shared" ca="1" si="5"/>
        <v>45.779882635382499</v>
      </c>
      <c r="AJ46" s="485">
        <f t="shared" ca="1" si="6"/>
        <v>47.749374837856479</v>
      </c>
      <c r="AK46" s="627">
        <f t="shared" ca="1" si="9"/>
        <v>44.454274934652432</v>
      </c>
      <c r="AL46" s="482"/>
      <c r="AO46" s="522"/>
      <c r="AP46" s="522"/>
      <c r="AQ46" s="286"/>
    </row>
    <row r="47" spans="1:43" ht="16" x14ac:dyDescent="0.2">
      <c r="A47" s="58"/>
      <c r="B47" s="328" t="s">
        <v>259</v>
      </c>
      <c r="C47" s="219" t="s">
        <v>166</v>
      </c>
      <c r="D47" s="222" t="s">
        <v>260</v>
      </c>
      <c r="E47" s="219" t="s">
        <v>261</v>
      </c>
      <c r="F47" s="222" t="s">
        <v>262</v>
      </c>
      <c r="G47" s="215" t="s">
        <v>263</v>
      </c>
      <c r="H47" s="58"/>
      <c r="I47" s="241" t="s">
        <v>130</v>
      </c>
      <c r="J47" s="220" t="s">
        <v>264</v>
      </c>
      <c r="K47" s="219" t="s">
        <v>688</v>
      </c>
      <c r="L47" s="215" t="s">
        <v>265</v>
      </c>
      <c r="M47" s="58"/>
      <c r="P47" s="951">
        <v>13.6</v>
      </c>
      <c r="Q47" s="953"/>
      <c r="R47" s="951">
        <v>5.49</v>
      </c>
      <c r="S47" s="952"/>
      <c r="AA47" s="483">
        <f t="shared" ca="1" si="7"/>
        <v>10</v>
      </c>
      <c r="AB47" s="484">
        <f t="shared" ca="1" si="0"/>
        <v>4.9467360247874907</v>
      </c>
      <c r="AC47" s="484">
        <f t="shared" ca="1" si="1"/>
        <v>2.2271399999999999</v>
      </c>
      <c r="AD47" s="484">
        <f t="shared" ca="1" si="8"/>
        <v>819</v>
      </c>
      <c r="AE47" s="485">
        <f t="shared" ca="1" si="2"/>
        <v>69.105999999999995</v>
      </c>
      <c r="AF47" s="482"/>
      <c r="AG47" s="483">
        <f t="shared" ca="1" si="3"/>
        <v>29.013640993599513</v>
      </c>
      <c r="AH47" s="484">
        <f t="shared" ca="1" si="4"/>
        <v>54.762394884933627</v>
      </c>
      <c r="AI47" s="484">
        <f t="shared" ca="1" si="5"/>
        <v>45.350501349189273</v>
      </c>
      <c r="AJ47" s="485">
        <f t="shared" ca="1" si="6"/>
        <v>46.614086837856469</v>
      </c>
      <c r="AK47" s="627">
        <f t="shared" ca="1" si="9"/>
        <v>43.935156016394714</v>
      </c>
      <c r="AL47" s="482"/>
      <c r="AO47" s="523"/>
      <c r="AP47" s="3"/>
    </row>
    <row r="48" spans="1:43" ht="15.75" customHeight="1" x14ac:dyDescent="0.2">
      <c r="A48" s="58"/>
      <c r="B48" s="11" t="s">
        <v>751</v>
      </c>
      <c r="C48" s="10"/>
      <c r="D48" s="212">
        <f>Input!C10</f>
        <v>350</v>
      </c>
      <c r="E48" s="212" t="s">
        <v>747</v>
      </c>
      <c r="F48" s="15" t="s">
        <v>737</v>
      </c>
      <c r="G48" s="237">
        <f>IF(C48="",D48,C48)</f>
        <v>350</v>
      </c>
      <c r="H48" s="58"/>
      <c r="I48" s="229" t="s">
        <v>241</v>
      </c>
      <c r="J48" s="240">
        <f>(177.149+1.941*G49/3.281+0.845*G48/3.281)/100</f>
        <v>2.8503683907345323</v>
      </c>
      <c r="K48" t="s">
        <v>713</v>
      </c>
      <c r="L48" s="20" t="s">
        <v>411</v>
      </c>
      <c r="M48" s="58"/>
      <c r="P48" s="951">
        <v>7.0866141732283463</v>
      </c>
      <c r="Q48" s="953"/>
      <c r="R48" s="951">
        <v>12.7</v>
      </c>
      <c r="S48" s="952"/>
      <c r="AA48" s="483">
        <f t="shared" ca="1" si="7"/>
        <v>6</v>
      </c>
      <c r="AB48" s="484">
        <f t="shared" ca="1" si="0"/>
        <v>1.0396976224741601</v>
      </c>
      <c r="AC48" s="484">
        <f t="shared" ca="1" si="1"/>
        <v>1.3306519999999999</v>
      </c>
      <c r="AD48" s="484">
        <f t="shared" ca="1" si="8"/>
        <v>175</v>
      </c>
      <c r="AE48" s="485">
        <f t="shared" ca="1" si="2"/>
        <v>106.81559999999999</v>
      </c>
      <c r="AF48" s="482"/>
      <c r="AG48" s="483">
        <f t="shared" ca="1" si="3"/>
        <v>23.910318835720815</v>
      </c>
      <c r="AH48" s="484">
        <f t="shared" ca="1" si="4"/>
        <v>73.197839649718091</v>
      </c>
      <c r="AI48" s="484">
        <f t="shared" ca="1" si="5"/>
        <v>54.244007125478198</v>
      </c>
      <c r="AJ48" s="485">
        <f t="shared" ca="1" si="6"/>
        <v>33.480886012997196</v>
      </c>
      <c r="AK48" s="627">
        <f t="shared" ca="1" si="9"/>
        <v>46.208262905978572</v>
      </c>
      <c r="AL48" s="482"/>
      <c r="AN48" s="524"/>
      <c r="AO48" s="3"/>
      <c r="AP48" s="3"/>
    </row>
    <row r="49" spans="1:61" ht="16" x14ac:dyDescent="0.2">
      <c r="A49" s="58"/>
      <c r="B49" s="11" t="s">
        <v>750</v>
      </c>
      <c r="C49" s="10"/>
      <c r="D49" s="212">
        <v>30</v>
      </c>
      <c r="E49" s="212" t="s">
        <v>260</v>
      </c>
      <c r="F49" s="15" t="s">
        <v>716</v>
      </c>
      <c r="G49" s="237">
        <f>IF(C49="",D49,C49)</f>
        <v>30</v>
      </c>
      <c r="H49" s="58"/>
      <c r="I49" s="229" t="s">
        <v>242</v>
      </c>
      <c r="J49" s="240">
        <f>(212.125+3.619*G49/3.281+0.875*G48/3.281)/100</f>
        <v>3.38555966168851</v>
      </c>
      <c r="K49" t="s">
        <v>713</v>
      </c>
      <c r="L49" s="20" t="s">
        <v>412</v>
      </c>
      <c r="M49" s="58"/>
      <c r="P49" s="951">
        <v>3.9370078740157481</v>
      </c>
      <c r="Q49" s="953"/>
      <c r="R49" s="951">
        <v>17.100000000000001</v>
      </c>
      <c r="S49" s="952"/>
      <c r="AA49" s="483">
        <f t="shared" ca="1" si="7"/>
        <v>11</v>
      </c>
      <c r="AB49" s="484">
        <f t="shared" ca="1" si="0"/>
        <v>6.5126594683761416</v>
      </c>
      <c r="AC49" s="484">
        <f t="shared" ca="1" si="1"/>
        <v>2.4512619999999998</v>
      </c>
      <c r="AD49" s="484">
        <f t="shared" ca="1" si="8"/>
        <v>896</v>
      </c>
      <c r="AE49" s="485">
        <f t="shared" ca="1" si="2"/>
        <v>59.678599999999989</v>
      </c>
      <c r="AF49" s="482"/>
      <c r="AG49" s="483">
        <f t="shared" ca="1" si="3"/>
        <v>29.623820816824139</v>
      </c>
      <c r="AH49" s="484">
        <f t="shared" ca="1" si="4"/>
        <v>51.160243527914481</v>
      </c>
      <c r="AI49" s="484">
        <f t="shared" ca="1" si="5"/>
        <v>42.225424204111242</v>
      </c>
      <c r="AJ49" s="485">
        <f t="shared" ca="1" si="6"/>
        <v>46.737449006967402</v>
      </c>
      <c r="AK49" s="627">
        <f t="shared" ca="1" si="9"/>
        <v>42.436734388954321</v>
      </c>
      <c r="AL49" s="482"/>
      <c r="AN49" s="9"/>
      <c r="AO49" s="3"/>
      <c r="AP49" s="3"/>
    </row>
    <row r="50" spans="1:61" ht="16" x14ac:dyDescent="0.2">
      <c r="A50" s="58"/>
      <c r="B50" s="11" t="s">
        <v>749</v>
      </c>
      <c r="C50" s="10"/>
      <c r="D50" s="212">
        <v>3</v>
      </c>
      <c r="E50" s="212" t="s">
        <v>260</v>
      </c>
      <c r="F50" s="15" t="s">
        <v>717</v>
      </c>
      <c r="G50" s="237">
        <f>IF(C50="",D50,C50)</f>
        <v>3</v>
      </c>
      <c r="H50" s="58"/>
      <c r="I50" s="229" t="s">
        <v>242</v>
      </c>
      <c r="J50" s="240">
        <f>1.3969+0.0039*G48+0.0178*G49+0.4293*G50+0.0151*G52-0.3814*G56-0.0941*G55</f>
        <v>4.9335264729498762</v>
      </c>
      <c r="K50" t="s">
        <v>413</v>
      </c>
      <c r="L50" s="20" t="s">
        <v>414</v>
      </c>
      <c r="M50" s="58"/>
      <c r="P50" s="951">
        <v>7.0866141732283463</v>
      </c>
      <c r="Q50" s="953"/>
      <c r="R50" s="951">
        <v>8.6999999999999993</v>
      </c>
      <c r="S50" s="952"/>
      <c r="AA50" s="483">
        <f t="shared" ca="1" si="7"/>
        <v>15</v>
      </c>
      <c r="AB50" s="484">
        <f t="shared" ca="1" si="0"/>
        <v>15.443787118411857</v>
      </c>
      <c r="AC50" s="484">
        <f t="shared" ca="1" si="1"/>
        <v>3.34775</v>
      </c>
      <c r="AD50" s="484">
        <f t="shared" ca="1" si="8"/>
        <v>370</v>
      </c>
      <c r="AE50" s="485">
        <f t="shared" ca="1" si="2"/>
        <v>21.968999999999994</v>
      </c>
      <c r="AF50" s="482"/>
      <c r="AG50" s="483">
        <f t="shared" ca="1" si="3"/>
        <v>25.455579427003961</v>
      </c>
      <c r="AH50" s="484">
        <f t="shared" ca="1" si="4"/>
        <v>38.403833774792389</v>
      </c>
      <c r="AI50" s="484">
        <f t="shared" ca="1" si="5"/>
        <v>20.772515806670221</v>
      </c>
      <c r="AJ50" s="485">
        <f t="shared" ca="1" si="6"/>
        <v>20.047565044356617</v>
      </c>
      <c r="AK50" s="627">
        <f t="shared" ca="1" si="9"/>
        <v>26.169873513205797</v>
      </c>
      <c r="AL50" s="482"/>
      <c r="AN50" s="9"/>
      <c r="AO50" s="3"/>
      <c r="AP50" s="3"/>
      <c r="AS50" s="516"/>
    </row>
    <row r="51" spans="1:61" ht="16" x14ac:dyDescent="0.2">
      <c r="A51" s="58"/>
      <c r="B51" s="232" t="s">
        <v>366</v>
      </c>
      <c r="C51" s="56"/>
      <c r="D51" s="227">
        <f>Input!C6</f>
        <v>21</v>
      </c>
      <c r="E51" s="178" t="s">
        <v>267</v>
      </c>
      <c r="F51" s="15" t="s">
        <v>715</v>
      </c>
      <c r="G51" s="236">
        <f>IF(C51="",D51,C51)</f>
        <v>21</v>
      </c>
      <c r="H51" s="58"/>
      <c r="I51" s="229" t="s">
        <v>242</v>
      </c>
      <c r="J51" s="240">
        <f>2.3409+0.0056*G48/3.281+0.0387*G49/3.281-0.7222*G57+0.1906*G50+0.3341*G59+0.1697*G58</f>
        <v>3.3114343797622676</v>
      </c>
      <c r="K51" t="s">
        <v>278</v>
      </c>
      <c r="L51" s="20" t="s">
        <v>415</v>
      </c>
      <c r="M51" s="58"/>
      <c r="P51" s="951">
        <v>4.3307086614173231</v>
      </c>
      <c r="Q51" s="953"/>
      <c r="R51" s="951">
        <v>5.5</v>
      </c>
      <c r="S51" s="952"/>
      <c r="AA51" s="483">
        <f t="shared" ca="1" si="7"/>
        <v>13</v>
      </c>
      <c r="AB51" s="484">
        <f t="shared" ca="1" si="0"/>
        <v>10.42900695605948</v>
      </c>
      <c r="AC51" s="484">
        <f t="shared" ca="1" si="1"/>
        <v>2.8995060000000001</v>
      </c>
      <c r="AD51" s="484">
        <f t="shared" ca="1" si="8"/>
        <v>823</v>
      </c>
      <c r="AE51" s="485">
        <f t="shared" ca="1" si="2"/>
        <v>40.823799999999991</v>
      </c>
      <c r="AF51" s="482"/>
      <c r="AG51" s="483">
        <f t="shared" ca="1" si="3"/>
        <v>29.04533864675404</v>
      </c>
      <c r="AH51" s="484">
        <f t="shared" ca="1" si="4"/>
        <v>44.473600122093885</v>
      </c>
      <c r="AI51" s="484">
        <f t="shared" ca="1" si="5"/>
        <v>33.538531114808592</v>
      </c>
      <c r="AJ51" s="485">
        <f t="shared" ca="1" si="6"/>
        <v>39.508353876039919</v>
      </c>
      <c r="AK51" s="627">
        <f t="shared" ca="1" si="9"/>
        <v>36.641455939924114</v>
      </c>
      <c r="AL51" s="482"/>
      <c r="AO51" s="15"/>
      <c r="AP51" s="3"/>
    </row>
    <row r="52" spans="1:61" ht="16" x14ac:dyDescent="0.2">
      <c r="A52" s="58"/>
      <c r="B52" s="11" t="s">
        <v>748</v>
      </c>
      <c r="C52" s="10"/>
      <c r="D52" s="178">
        <f>G50*IF(Input!C8=4,'Tree volume estimation'!P7,'Tree volume estimation'!U7)</f>
        <v>86.140826023170646</v>
      </c>
      <c r="E52" s="212" t="s">
        <v>416</v>
      </c>
      <c r="F52" s="240" t="s">
        <v>716</v>
      </c>
      <c r="G52" s="238">
        <f>IF(C52="",D52,C52)</f>
        <v>86.140826023170646</v>
      </c>
      <c r="H52" s="58"/>
      <c r="I52" s="229" t="s">
        <v>242</v>
      </c>
      <c r="J52" s="240">
        <f>1.8053+0.0135*G48/3.281+0.0226*G49/3.281-0.4292*G57+0.1273*G50+0.0118*G51+0.1894*G58</f>
        <v>3.8419540384029256</v>
      </c>
      <c r="K52" t="s">
        <v>278</v>
      </c>
      <c r="L52" s="20" t="s">
        <v>609</v>
      </c>
      <c r="M52" s="58"/>
      <c r="P52" s="951">
        <v>8.6614173228346463</v>
      </c>
      <c r="Q52" s="953"/>
      <c r="R52" s="951">
        <v>8</v>
      </c>
      <c r="S52" s="952"/>
      <c r="AA52" s="483">
        <f t="shared" ca="1" si="7"/>
        <v>7</v>
      </c>
      <c r="AB52" s="484">
        <f t="shared" ca="1" si="0"/>
        <v>1.6910619505690725</v>
      </c>
      <c r="AC52" s="484">
        <f t="shared" ca="1" si="1"/>
        <v>1.5547739999999999</v>
      </c>
      <c r="AD52" s="484">
        <f t="shared" ca="1" si="8"/>
        <v>846</v>
      </c>
      <c r="AE52" s="485">
        <f t="shared" ca="1" si="2"/>
        <v>97.388199999999998</v>
      </c>
      <c r="AF52" s="482"/>
      <c r="AG52" s="483">
        <f t="shared" ca="1" si="3"/>
        <v>29.227600152392561</v>
      </c>
      <c r="AH52" s="484">
        <f t="shared" ca="1" si="4"/>
        <v>71.500112566954712</v>
      </c>
      <c r="AI52" s="484">
        <f t="shared" ca="1" si="5"/>
        <v>57.4952420803697</v>
      </c>
      <c r="AJ52" s="485">
        <f t="shared" ca="1" si="6"/>
        <v>51.667601024030482</v>
      </c>
      <c r="AK52" s="627">
        <f t="shared" ca="1" si="9"/>
        <v>52.472638955936866</v>
      </c>
      <c r="AL52" s="482"/>
    </row>
    <row r="53" spans="1:61" ht="16" x14ac:dyDescent="0.2">
      <c r="A53" s="58"/>
      <c r="B53" s="11"/>
      <c r="G53" s="237"/>
      <c r="H53" s="58"/>
      <c r="I53" s="229" t="s">
        <v>242</v>
      </c>
      <c r="J53" s="240">
        <f>1.8202+0.0024*G48+0.00021*G49^2+0.0125*G52+0.0024*69.24+0.0151*G51</f>
        <v>4.4092363252896334</v>
      </c>
      <c r="K53" t="s">
        <v>276</v>
      </c>
      <c r="L53" s="20" t="s">
        <v>608</v>
      </c>
      <c r="M53" s="58"/>
      <c r="P53" s="951">
        <v>10.63</v>
      </c>
      <c r="Q53" s="953"/>
      <c r="R53" s="951">
        <v>9.25</v>
      </c>
      <c r="S53" s="952"/>
      <c r="AA53" s="483">
        <f t="shared" ca="1" si="7"/>
        <v>16</v>
      </c>
      <c r="AB53" s="484">
        <f t="shared" ca="1" si="0"/>
        <v>18.379198818405975</v>
      </c>
      <c r="AC53" s="484">
        <f t="shared" ca="1" si="1"/>
        <v>3.5718719999999999</v>
      </c>
      <c r="AD53" s="484">
        <f t="shared" ca="1" si="8"/>
        <v>957</v>
      </c>
      <c r="AE53" s="485">
        <f t="shared" ca="1" si="2"/>
        <v>12.541599999999988</v>
      </c>
      <c r="AF53" s="482"/>
      <c r="AG53" s="483">
        <f t="shared" ca="1" si="3"/>
        <v>30.107210027430661</v>
      </c>
      <c r="AH53" s="484">
        <f t="shared" ca="1" si="4"/>
        <v>37.736703578504695</v>
      </c>
      <c r="AI53" s="484">
        <f t="shared" ca="1" si="5"/>
        <v>23.122050060555921</v>
      </c>
      <c r="AJ53" s="485">
        <f t="shared" ca="1" si="6"/>
        <v>32.842455268391049</v>
      </c>
      <c r="AK53" s="627">
        <f t="shared" ca="1" si="9"/>
        <v>30.952104733720581</v>
      </c>
      <c r="AL53" s="482"/>
    </row>
    <row r="54" spans="1:61" ht="16" x14ac:dyDescent="0.2">
      <c r="A54" s="58"/>
      <c r="B54" s="942" t="s">
        <v>275</v>
      </c>
      <c r="C54" s="943"/>
      <c r="D54" s="943"/>
      <c r="E54" s="943"/>
      <c r="F54" s="943"/>
      <c r="G54" s="944"/>
      <c r="H54" s="58"/>
      <c r="I54" s="229"/>
      <c r="J54" s="240"/>
      <c r="L54" s="12"/>
      <c r="M54" s="58"/>
      <c r="P54" s="951"/>
      <c r="Q54" s="953"/>
      <c r="R54" s="951"/>
      <c r="S54" s="952"/>
      <c r="AA54" s="483">
        <f t="shared" ca="1" si="7"/>
        <v>9</v>
      </c>
      <c r="AB54" s="484">
        <f t="shared" ca="1" si="0"/>
        <v>3.6293567322283229</v>
      </c>
      <c r="AC54" s="484">
        <f t="shared" ca="1" si="1"/>
        <v>2.003018</v>
      </c>
      <c r="AD54" s="484">
        <f t="shared" ca="1" si="8"/>
        <v>932</v>
      </c>
      <c r="AE54" s="485">
        <f t="shared" ca="1" si="2"/>
        <v>78.533399999999986</v>
      </c>
      <c r="AF54" s="482"/>
      <c r="AG54" s="483">
        <f t="shared" ca="1" si="3"/>
        <v>29.909099695214874</v>
      </c>
      <c r="AH54" s="484">
        <f t="shared" ca="1" si="4"/>
        <v>59.997047409254925</v>
      </c>
      <c r="AI54" s="484">
        <f t="shared" ca="1" si="5"/>
        <v>50.515139603685149</v>
      </c>
      <c r="AJ54" s="485">
        <f t="shared" ca="1" si="6"/>
        <v>51.556050328008567</v>
      </c>
      <c r="AK54" s="627">
        <f t="shared" ca="1" si="9"/>
        <v>47.994334259040883</v>
      </c>
      <c r="AL54" s="482"/>
    </row>
    <row r="55" spans="1:61" x14ac:dyDescent="0.2">
      <c r="A55" s="58"/>
      <c r="B55" s="407" t="s">
        <v>417</v>
      </c>
      <c r="D55" s="212">
        <v>2</v>
      </c>
      <c r="E55" s="212" t="s">
        <v>719</v>
      </c>
      <c r="F55" s="15" t="s">
        <v>716</v>
      </c>
      <c r="G55" s="340">
        <f>IF(C55="",D55,C55)</f>
        <v>2</v>
      </c>
      <c r="H55" s="58"/>
      <c r="I55" s="11"/>
      <c r="L55" s="12"/>
      <c r="M55" s="58"/>
      <c r="P55" s="486"/>
      <c r="Q55" s="413"/>
      <c r="R55" s="486"/>
      <c r="S55" s="504"/>
      <c r="AA55" s="483">
        <f t="shared" ca="1" si="7"/>
        <v>15</v>
      </c>
      <c r="AB55" s="484">
        <f t="shared" ca="1" si="0"/>
        <v>15.443787118411857</v>
      </c>
      <c r="AC55" s="484">
        <f t="shared" ca="1" si="1"/>
        <v>3.34775</v>
      </c>
      <c r="AD55" s="484">
        <f t="shared" ca="1" si="8"/>
        <v>472</v>
      </c>
      <c r="AE55" s="485">
        <f t="shared" ca="1" si="2"/>
        <v>21.968999999999994</v>
      </c>
      <c r="AF55" s="482"/>
      <c r="AG55" s="483">
        <f t="shared" ca="1" si="3"/>
        <v>26.263869582444379</v>
      </c>
      <c r="AH55" s="484">
        <f t="shared" ca="1" si="4"/>
        <v>38.64885271109911</v>
      </c>
      <c r="AI55" s="484">
        <f t="shared" ca="1" si="5"/>
        <v>21.867438086462968</v>
      </c>
      <c r="AJ55" s="485">
        <f t="shared" ca="1" si="6"/>
        <v>22.942549444356615</v>
      </c>
      <c r="AK55" s="627">
        <f t="shared" ca="1" si="9"/>
        <v>27.430677456090766</v>
      </c>
      <c r="AL55" s="482"/>
    </row>
    <row r="56" spans="1:61" ht="16" thickBot="1" x14ac:dyDescent="0.25">
      <c r="A56" s="58"/>
      <c r="B56" s="407" t="s">
        <v>418</v>
      </c>
      <c r="D56" s="212">
        <v>2</v>
      </c>
      <c r="E56" s="212" t="s">
        <v>719</v>
      </c>
      <c r="F56" s="15" t="s">
        <v>716</v>
      </c>
      <c r="G56" s="340">
        <f>IF(C56="",D56,C56)</f>
        <v>2</v>
      </c>
      <c r="H56" s="58"/>
      <c r="I56" s="229"/>
      <c r="J56" s="240"/>
      <c r="L56" s="12"/>
      <c r="M56" s="58"/>
      <c r="AA56" s="483">
        <f t="shared" ca="1" si="7"/>
        <v>8</v>
      </c>
      <c r="AB56" s="484">
        <f t="shared" ca="1" si="0"/>
        <v>2.5487599750311212</v>
      </c>
      <c r="AC56" s="484">
        <f t="shared" ca="1" si="1"/>
        <v>1.7788959999999998</v>
      </c>
      <c r="AD56" s="484">
        <f t="shared" ca="1" si="8"/>
        <v>709</v>
      </c>
      <c r="AE56" s="485">
        <f t="shared" ca="1" si="2"/>
        <v>87.960799999999992</v>
      </c>
      <c r="AF56" s="482"/>
      <c r="AG56" s="483">
        <f t="shared" ca="1" si="3"/>
        <v>28.141955531850044</v>
      </c>
      <c r="AH56" s="484">
        <f t="shared" ca="1" si="4"/>
        <v>64.028467392827821</v>
      </c>
      <c r="AI56" s="484">
        <f t="shared" ca="1" si="5"/>
        <v>52.072975054157865</v>
      </c>
      <c r="AJ56" s="485">
        <f t="shared" ca="1" si="6"/>
        <v>46.649790417887743</v>
      </c>
      <c r="AK56" s="627">
        <f t="shared" ca="1" si="9"/>
        <v>47.723297099180868</v>
      </c>
      <c r="AL56" s="482"/>
    </row>
    <row r="57" spans="1:61" ht="16" thickBot="1" x14ac:dyDescent="0.25">
      <c r="A57" s="58"/>
      <c r="B57" s="407" t="s">
        <v>420</v>
      </c>
      <c r="D57" s="212">
        <v>1</v>
      </c>
      <c r="E57" s="212" t="s">
        <v>746</v>
      </c>
      <c r="F57" s="15" t="s">
        <v>716</v>
      </c>
      <c r="G57" s="340">
        <f>IF(C57="",D57,C57)</f>
        <v>1</v>
      </c>
      <c r="H57" s="58"/>
      <c r="I57" s="11"/>
      <c r="L57" s="12"/>
      <c r="M57" s="58"/>
      <c r="P57" s="954" t="s">
        <v>820</v>
      </c>
      <c r="Q57" s="955"/>
      <c r="R57" s="955"/>
      <c r="S57" s="956"/>
      <c r="AA57" s="483">
        <f t="shared" ca="1" si="7"/>
        <v>11</v>
      </c>
      <c r="AB57" s="484">
        <f t="shared" ca="1" si="0"/>
        <v>6.5126594683761416</v>
      </c>
      <c r="AC57" s="484">
        <f t="shared" ca="1" si="1"/>
        <v>2.4512619999999998</v>
      </c>
      <c r="AD57" s="484">
        <f t="shared" ca="1" si="8"/>
        <v>542</v>
      </c>
      <c r="AE57" s="485">
        <f t="shared" ca="1" si="2"/>
        <v>59.678599999999989</v>
      </c>
      <c r="AF57" s="482"/>
      <c r="AG57" s="483">
        <f t="shared" ca="1" si="3"/>
        <v>26.818578512648582</v>
      </c>
      <c r="AH57" s="484">
        <f t="shared" ca="1" si="4"/>
        <v>49.703408652939231</v>
      </c>
      <c r="AI57" s="484">
        <f t="shared" ca="1" si="5"/>
        <v>38.42539982130112</v>
      </c>
      <c r="AJ57" s="485">
        <f t="shared" ca="1" si="6"/>
        <v>36.690150206967402</v>
      </c>
      <c r="AK57" s="627">
        <f t="shared" ca="1" si="9"/>
        <v>37.90938429846409</v>
      </c>
      <c r="AL57" s="482"/>
    </row>
    <row r="58" spans="1:61" x14ac:dyDescent="0.2">
      <c r="A58" s="58"/>
      <c r="B58" s="407" t="s">
        <v>422</v>
      </c>
      <c r="D58" s="212">
        <v>1</v>
      </c>
      <c r="E58" s="212" t="s">
        <v>746</v>
      </c>
      <c r="F58" s="240" t="s">
        <v>716</v>
      </c>
      <c r="G58" s="340">
        <f>IF(C58="",D58,C58)</f>
        <v>1</v>
      </c>
      <c r="H58" s="58"/>
      <c r="I58" s="11"/>
      <c r="L58" s="12"/>
      <c r="M58" s="58"/>
      <c r="P58" s="957" t="s">
        <v>335</v>
      </c>
      <c r="Q58" s="957"/>
      <c r="R58" s="957"/>
      <c r="S58" s="957"/>
      <c r="AA58" s="483">
        <f t="shared" ca="1" si="7"/>
        <v>14</v>
      </c>
      <c r="AB58" s="484">
        <f t="shared" ca="1" si="0"/>
        <v>12.795667543366134</v>
      </c>
      <c r="AC58" s="484">
        <f t="shared" ca="1" si="1"/>
        <v>3.1236280000000001</v>
      </c>
      <c r="AD58" s="484">
        <f t="shared" ca="1" si="8"/>
        <v>274</v>
      </c>
      <c r="AE58" s="485">
        <f t="shared" ca="1" si="2"/>
        <v>31.3964</v>
      </c>
      <c r="AF58" s="482"/>
      <c r="AG58" s="483">
        <f t="shared" ca="1" si="3"/>
        <v>24.694835751295336</v>
      </c>
      <c r="AH58" s="484">
        <f t="shared" ca="1" si="4"/>
        <v>40.348457009755599</v>
      </c>
      <c r="AI58" s="484">
        <f t="shared" ca="1" si="5"/>
        <v>23.693636840806462</v>
      </c>
      <c r="AJ58" s="485">
        <f t="shared" ca="1" si="6"/>
        <v>20.810017881656112</v>
      </c>
      <c r="AK58" s="627">
        <f t="shared" ca="1" si="9"/>
        <v>27.386736870878376</v>
      </c>
      <c r="AL58" s="482"/>
    </row>
    <row r="59" spans="1:61" ht="16" x14ac:dyDescent="0.2">
      <c r="A59" s="58"/>
      <c r="B59" s="130" t="s">
        <v>423</v>
      </c>
      <c r="C59" s="413"/>
      <c r="D59" s="415">
        <f>IF(G48&lt;1000,0,1)</f>
        <v>0</v>
      </c>
      <c r="E59" s="336" t="s">
        <v>424</v>
      </c>
      <c r="F59" s="335" t="s">
        <v>716</v>
      </c>
      <c r="G59" s="414">
        <f>IF(C59="",D59,C59)</f>
        <v>0</v>
      </c>
      <c r="H59" s="58"/>
      <c r="I59" s="11"/>
      <c r="L59" s="12"/>
      <c r="M59" s="58"/>
      <c r="P59" s="958" t="s">
        <v>147</v>
      </c>
      <c r="Q59" s="959"/>
      <c r="R59" s="959"/>
      <c r="S59" s="960"/>
      <c r="AA59" s="483">
        <f t="shared" ca="1" si="7"/>
        <v>10</v>
      </c>
      <c r="AB59" s="484">
        <f t="shared" ca="1" si="0"/>
        <v>4.9467360247874907</v>
      </c>
      <c r="AC59" s="484">
        <f t="shared" ca="1" si="1"/>
        <v>2.2271399999999999</v>
      </c>
      <c r="AD59" s="484">
        <f t="shared" ca="1" si="8"/>
        <v>227</v>
      </c>
      <c r="AE59" s="485">
        <f t="shared" ca="1" si="2"/>
        <v>69.105999999999995</v>
      </c>
      <c r="AF59" s="482"/>
      <c r="AG59" s="483">
        <f t="shared" ca="1" si="3"/>
        <v>24.322388326729655</v>
      </c>
      <c r="AH59" s="484">
        <f t="shared" ca="1" si="4"/>
        <v>52.03237339219546</v>
      </c>
      <c r="AI59" s="484">
        <f t="shared" ca="1" si="5"/>
        <v>38.995658313529404</v>
      </c>
      <c r="AJ59" s="485">
        <f t="shared" ca="1" si="6"/>
        <v>29.811824437856476</v>
      </c>
      <c r="AK59" s="627">
        <f t="shared" ca="1" si="9"/>
        <v>36.290561117577752</v>
      </c>
      <c r="AL59" s="482"/>
    </row>
    <row r="60" spans="1:61" ht="17" thickBot="1" x14ac:dyDescent="0.25">
      <c r="A60" s="58"/>
      <c r="B60" s="13"/>
      <c r="C60" s="1"/>
      <c r="D60" s="1"/>
      <c r="E60" s="1"/>
      <c r="F60" s="1"/>
      <c r="G60" s="239"/>
      <c r="H60" s="58"/>
      <c r="I60" s="13"/>
      <c r="J60" s="214"/>
      <c r="K60" s="1"/>
      <c r="L60" s="14"/>
      <c r="M60" s="58"/>
      <c r="P60" s="958" t="s">
        <v>287</v>
      </c>
      <c r="Q60" s="960"/>
      <c r="R60" s="959" t="s">
        <v>334</v>
      </c>
      <c r="S60" s="960"/>
      <c r="AA60" s="483">
        <f t="shared" ca="1" si="7"/>
        <v>6</v>
      </c>
      <c r="AB60" s="484">
        <f t="shared" ca="1" si="0"/>
        <v>1.0396976224741601</v>
      </c>
      <c r="AC60" s="484">
        <f t="shared" ca="1" si="1"/>
        <v>1.3306519999999999</v>
      </c>
      <c r="AD60" s="484">
        <f t="shared" ca="1" si="8"/>
        <v>261</v>
      </c>
      <c r="AE60" s="485">
        <f t="shared" ca="1" si="2"/>
        <v>106.81559999999999</v>
      </c>
      <c r="AF60" s="482"/>
      <c r="AG60" s="483">
        <f t="shared" ca="1" si="3"/>
        <v>24.591818378543127</v>
      </c>
      <c r="AH60" s="484">
        <f t="shared" ca="1" si="4"/>
        <v>73.951248146689423</v>
      </c>
      <c r="AI60" s="484">
        <f t="shared" ca="1" si="5"/>
        <v>55.167176890793655</v>
      </c>
      <c r="AJ60" s="485">
        <f t="shared" ca="1" si="6"/>
        <v>35.921755212997198</v>
      </c>
      <c r="AK60" s="627">
        <f t="shared" ca="1" si="9"/>
        <v>47.40799965725585</v>
      </c>
      <c r="AL60" s="482"/>
      <c r="BI60" s="4"/>
    </row>
    <row r="61" spans="1:61" ht="16" x14ac:dyDescent="0.2">
      <c r="A61" s="58"/>
      <c r="B61" s="58"/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8"/>
      <c r="P61" s="951">
        <v>11.5</v>
      </c>
      <c r="Q61" s="952"/>
      <c r="R61" s="953">
        <v>60</v>
      </c>
      <c r="S61" s="952"/>
      <c r="T61" t="s">
        <v>336</v>
      </c>
      <c r="AA61" s="483">
        <f t="shared" ca="1" si="7"/>
        <v>6</v>
      </c>
      <c r="AB61" s="484">
        <f t="shared" ca="1" si="0"/>
        <v>1.0396976224741601</v>
      </c>
      <c r="AC61" s="484">
        <f t="shared" ca="1" si="1"/>
        <v>1.3306519999999999</v>
      </c>
      <c r="AD61" s="484">
        <f t="shared" ca="1" si="8"/>
        <v>726</v>
      </c>
      <c r="AE61" s="485">
        <f t="shared" ca="1" si="2"/>
        <v>106.81559999999999</v>
      </c>
      <c r="AF61" s="482"/>
      <c r="AG61" s="483">
        <f t="shared" ca="1" si="3"/>
        <v>28.276670557756781</v>
      </c>
      <c r="AH61" s="484">
        <f t="shared" ca="1" si="4"/>
        <v>78.309381828057695</v>
      </c>
      <c r="AI61" s="484">
        <f t="shared" ca="1" si="5"/>
        <v>60.158734342789991</v>
      </c>
      <c r="AJ61" s="485">
        <f t="shared" ca="1" si="6"/>
        <v>49.119478212997194</v>
      </c>
      <c r="AK61" s="627">
        <f t="shared" ca="1" si="9"/>
        <v>53.966066235400412</v>
      </c>
      <c r="AL61" s="482"/>
      <c r="BI61" s="4"/>
    </row>
    <row r="62" spans="1:61" ht="16" x14ac:dyDescent="0.2">
      <c r="A62" s="58"/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P62" s="951">
        <v>11</v>
      </c>
      <c r="Q62" s="952"/>
      <c r="R62" s="953">
        <v>59</v>
      </c>
      <c r="S62" s="952"/>
      <c r="T62" t="s">
        <v>336</v>
      </c>
      <c r="AA62" s="483">
        <f t="shared" ca="1" si="7"/>
        <v>16</v>
      </c>
      <c r="AB62" s="484">
        <f t="shared" ca="1" si="0"/>
        <v>18.379198818405975</v>
      </c>
      <c r="AC62" s="484">
        <f t="shared" ca="1" si="1"/>
        <v>3.5718719999999999</v>
      </c>
      <c r="AD62" s="484">
        <f t="shared" ca="1" si="8"/>
        <v>660</v>
      </c>
      <c r="AE62" s="485">
        <f t="shared" ca="1" si="2"/>
        <v>12.541599999999988</v>
      </c>
      <c r="AF62" s="482"/>
      <c r="AG62" s="483">
        <f t="shared" ca="1" si="3"/>
        <v>27.753659280707101</v>
      </c>
      <c r="AH62" s="484">
        <f t="shared" ca="1" si="4"/>
        <v>37.064399617262737</v>
      </c>
      <c r="AI62" s="484">
        <f t="shared" ca="1" si="5"/>
        <v>19.933894010571162</v>
      </c>
      <c r="AJ62" s="485">
        <f t="shared" ca="1" si="6"/>
        <v>24.412941868391044</v>
      </c>
      <c r="AK62" s="627">
        <f t="shared" ca="1" si="9"/>
        <v>27.291223694233011</v>
      </c>
      <c r="AL62" s="482"/>
      <c r="BI62" s="4"/>
    </row>
    <row r="63" spans="1:61" ht="16" x14ac:dyDescent="0.2">
      <c r="P63" s="951">
        <v>6.5</v>
      </c>
      <c r="Q63" s="952"/>
      <c r="R63" s="953">
        <v>82</v>
      </c>
      <c r="S63" s="952"/>
      <c r="T63" t="s">
        <v>338</v>
      </c>
      <c r="AA63" s="483">
        <f t="shared" ca="1" si="7"/>
        <v>13</v>
      </c>
      <c r="AB63" s="484">
        <f t="shared" ca="1" si="0"/>
        <v>10.42900695605948</v>
      </c>
      <c r="AC63" s="484">
        <f t="shared" ca="1" si="1"/>
        <v>2.8995060000000001</v>
      </c>
      <c r="AD63" s="484">
        <f t="shared" ca="1" si="8"/>
        <v>190</v>
      </c>
      <c r="AE63" s="485">
        <f t="shared" ca="1" si="2"/>
        <v>40.823799999999991</v>
      </c>
      <c r="AF63" s="482"/>
      <c r="AG63" s="483">
        <f t="shared" ca="1" si="3"/>
        <v>24.02918503505029</v>
      </c>
      <c r="AH63" s="484">
        <f t="shared" ca="1" si="4"/>
        <v>42.535629658814088</v>
      </c>
      <c r="AI63" s="484">
        <f t="shared" ca="1" si="5"/>
        <v>26.743572260800665</v>
      </c>
      <c r="AJ63" s="485">
        <f t="shared" ca="1" si="6"/>
        <v>21.542421276039914</v>
      </c>
      <c r="AK63" s="627">
        <f t="shared" ca="1" si="9"/>
        <v>28.712702057676239</v>
      </c>
      <c r="AL63" s="482"/>
      <c r="BI63" s="4"/>
    </row>
    <row r="64" spans="1:61" ht="16" x14ac:dyDescent="0.2">
      <c r="P64" s="951">
        <v>8.9</v>
      </c>
      <c r="Q64" s="952"/>
      <c r="R64" s="953">
        <v>78</v>
      </c>
      <c r="S64" s="952"/>
      <c r="T64" t="s">
        <v>340</v>
      </c>
      <c r="AA64" s="483">
        <f t="shared" ca="1" si="7"/>
        <v>9</v>
      </c>
      <c r="AB64" s="484">
        <f t="shared" ca="1" si="0"/>
        <v>3.6293567322283229</v>
      </c>
      <c r="AC64" s="484">
        <f t="shared" ca="1" si="1"/>
        <v>2.003018</v>
      </c>
      <c r="AD64" s="484">
        <f t="shared" ca="1" si="8"/>
        <v>898</v>
      </c>
      <c r="AE64" s="485">
        <f t="shared" ca="1" si="2"/>
        <v>78.533399999999986</v>
      </c>
      <c r="AF64" s="482"/>
      <c r="AG64" s="483">
        <f t="shared" ca="1" si="3"/>
        <v>29.639669643401401</v>
      </c>
      <c r="AH64" s="484">
        <f t="shared" ca="1" si="4"/>
        <v>59.799625408206559</v>
      </c>
      <c r="AI64" s="484">
        <f t="shared" ca="1" si="5"/>
        <v>50.150165510420905</v>
      </c>
      <c r="AJ64" s="485">
        <f t="shared" ca="1" si="6"/>
        <v>50.591055528008575</v>
      </c>
      <c r="AK64" s="627">
        <f t="shared" ca="1" si="9"/>
        <v>47.545129022509364</v>
      </c>
      <c r="AL64" s="482"/>
      <c r="BI64" s="4"/>
    </row>
    <row r="65" spans="16:61" ht="16" x14ac:dyDescent="0.2">
      <c r="P65" s="951">
        <v>7.2</v>
      </c>
      <c r="Q65" s="952"/>
      <c r="R65" s="953">
        <v>126</v>
      </c>
      <c r="S65" s="952"/>
      <c r="T65" t="s">
        <v>341</v>
      </c>
      <c r="AA65" s="483">
        <f t="shared" ca="1" si="7"/>
        <v>7</v>
      </c>
      <c r="AB65" s="484">
        <f t="shared" ca="1" si="0"/>
        <v>1.6910619505690725</v>
      </c>
      <c r="AC65" s="484">
        <f t="shared" ca="1" si="1"/>
        <v>1.5547739999999999</v>
      </c>
      <c r="AD65" s="484">
        <f t="shared" ca="1" si="8"/>
        <v>306</v>
      </c>
      <c r="AE65" s="485">
        <f t="shared" ca="1" si="2"/>
        <v>97.388199999999998</v>
      </c>
      <c r="AF65" s="482"/>
      <c r="AG65" s="483">
        <f t="shared" ca="1" si="3"/>
        <v>24.948416976531547</v>
      </c>
      <c r="AH65" s="484">
        <f t="shared" ca="1" si="4"/>
        <v>67.295055156482533</v>
      </c>
      <c r="AI65" s="484">
        <f t="shared" ca="1" si="5"/>
        <v>51.698594716761043</v>
      </c>
      <c r="AJ65" s="485">
        <f t="shared" ca="1" si="6"/>
        <v>36.341213024030473</v>
      </c>
      <c r="AK65" s="627">
        <f t="shared" ca="1" si="9"/>
        <v>45.070819968451403</v>
      </c>
      <c r="AL65" s="482"/>
      <c r="AP65" s="32"/>
      <c r="AQ65" s="32"/>
      <c r="AR65" s="32"/>
      <c r="AS65" s="32"/>
      <c r="AT65" s="32"/>
      <c r="AU65" s="32"/>
      <c r="AV65" s="32"/>
      <c r="AW65" s="32"/>
      <c r="AX65" s="32"/>
      <c r="BA65" s="4"/>
      <c r="BB65" s="4"/>
      <c r="BC65" s="4"/>
      <c r="BD65" s="4"/>
      <c r="BE65" s="4"/>
      <c r="BF65" s="4"/>
      <c r="BG65" s="4"/>
      <c r="BH65" s="4"/>
      <c r="BI65" s="4"/>
    </row>
    <row r="66" spans="16:61" ht="16" x14ac:dyDescent="0.2">
      <c r="P66" s="951">
        <v>9.6999999999999993</v>
      </c>
      <c r="Q66" s="952"/>
      <c r="R66" s="953">
        <v>78.099999999999994</v>
      </c>
      <c r="S66" s="952"/>
      <c r="T66" t="s">
        <v>342</v>
      </c>
      <c r="AA66" s="483">
        <f t="shared" ca="1" si="7"/>
        <v>9</v>
      </c>
      <c r="AB66" s="484">
        <f t="shared" ca="1" si="0"/>
        <v>3.6293567322283229</v>
      </c>
      <c r="AC66" s="484">
        <f t="shared" ca="1" si="1"/>
        <v>2.003018</v>
      </c>
      <c r="AD66" s="484">
        <f t="shared" ca="1" si="8"/>
        <v>318</v>
      </c>
      <c r="AE66" s="485">
        <f t="shared" ca="1" si="2"/>
        <v>78.533399999999986</v>
      </c>
      <c r="AF66" s="482"/>
      <c r="AG66" s="483">
        <f t="shared" ca="1" si="3"/>
        <v>25.043509935995125</v>
      </c>
      <c r="AH66" s="484">
        <f t="shared" ca="1" si="4"/>
        <v>56.621326162647556</v>
      </c>
      <c r="AI66" s="484">
        <f t="shared" ca="1" si="5"/>
        <v>43.924136860619008</v>
      </c>
      <c r="AJ66" s="485">
        <f t="shared" ca="1" si="6"/>
        <v>34.129379528008563</v>
      </c>
      <c r="AK66" s="627">
        <f t="shared" ca="1" si="9"/>
        <v>39.929588121817567</v>
      </c>
      <c r="AL66" s="482"/>
      <c r="AP66" s="32"/>
      <c r="AQ66" s="32"/>
      <c r="AR66" s="32"/>
      <c r="AS66" s="32"/>
      <c r="AT66" s="32"/>
      <c r="AU66" s="32"/>
      <c r="AV66" s="32"/>
      <c r="AW66" s="32"/>
      <c r="AX66" s="32"/>
      <c r="BA66" s="4"/>
      <c r="BB66" s="4"/>
      <c r="BC66" s="4"/>
      <c r="BD66" s="4"/>
      <c r="BE66" s="4"/>
      <c r="BF66" s="4"/>
      <c r="BG66" s="4"/>
      <c r="BH66" s="4"/>
      <c r="BI66" s="4"/>
    </row>
    <row r="67" spans="16:61" ht="16" x14ac:dyDescent="0.2">
      <c r="P67" s="951">
        <v>9.5</v>
      </c>
      <c r="Q67" s="952"/>
      <c r="R67" s="953">
        <v>51.8</v>
      </c>
      <c r="S67" s="952"/>
      <c r="T67" t="s">
        <v>342</v>
      </c>
      <c r="AA67" s="483">
        <f t="shared" ca="1" si="7"/>
        <v>16</v>
      </c>
      <c r="AB67" s="484">
        <f t="shared" ca="1" si="0"/>
        <v>18.379198818405975</v>
      </c>
      <c r="AC67" s="484">
        <f t="shared" ca="1" si="1"/>
        <v>3.5718719999999999</v>
      </c>
      <c r="AD67" s="484">
        <f t="shared" ca="1" si="8"/>
        <v>485</v>
      </c>
      <c r="AE67" s="485">
        <f t="shared" ca="1" si="2"/>
        <v>12.541599999999988</v>
      </c>
      <c r="AF67" s="482"/>
      <c r="AG67" s="483">
        <f t="shared" ca="1" si="3"/>
        <v>26.366886955196588</v>
      </c>
      <c r="AH67" s="484">
        <f t="shared" ca="1" si="4"/>
        <v>36.67936031468151</v>
      </c>
      <c r="AI67" s="484">
        <f t="shared" ca="1" si="5"/>
        <v>18.055350883475764</v>
      </c>
      <c r="AJ67" s="485">
        <f t="shared" ca="1" si="6"/>
        <v>19.446056868391043</v>
      </c>
      <c r="AK67" s="627">
        <f t="shared" ca="1" si="9"/>
        <v>25.136913755436225</v>
      </c>
      <c r="AL67" s="482"/>
      <c r="AP67" s="32"/>
      <c r="AQ67" s="32"/>
      <c r="AR67" s="32"/>
      <c r="AS67" s="32"/>
      <c r="AT67" s="32"/>
      <c r="AU67" s="32"/>
      <c r="AV67" s="32"/>
      <c r="AW67" s="32"/>
      <c r="AX67" s="32"/>
      <c r="BA67" s="4"/>
      <c r="BB67" s="4"/>
      <c r="BC67" s="4"/>
      <c r="BD67" s="4"/>
      <c r="BE67" s="4"/>
      <c r="BF67" s="4"/>
      <c r="BG67" s="4"/>
      <c r="BH67" s="4"/>
      <c r="BI67" s="4"/>
    </row>
    <row r="68" spans="16:61" ht="16" x14ac:dyDescent="0.2">
      <c r="P68" s="951">
        <v>9</v>
      </c>
      <c r="Q68" s="952"/>
      <c r="R68" s="953">
        <v>82</v>
      </c>
      <c r="S68" s="952"/>
      <c r="AA68" s="483">
        <f t="shared" ca="1" si="7"/>
        <v>12</v>
      </c>
      <c r="AB68" s="484">
        <f t="shared" ca="1" si="0"/>
        <v>8.3371886632508829</v>
      </c>
      <c r="AC68" s="484">
        <f t="shared" ca="1" si="1"/>
        <v>2.6753840000000002</v>
      </c>
      <c r="AD68" s="484">
        <f t="shared" ca="1" si="8"/>
        <v>941</v>
      </c>
      <c r="AE68" s="485">
        <f t="shared" ca="1" si="2"/>
        <v>50.251199999999983</v>
      </c>
      <c r="AF68" s="482"/>
      <c r="AG68" s="483">
        <f t="shared" ca="1" si="3"/>
        <v>29.980419414812555</v>
      </c>
      <c r="AH68" s="484">
        <f t="shared" ca="1" si="4"/>
        <v>47.883688658691341</v>
      </c>
      <c r="AI68" s="484">
        <f t="shared" ca="1" si="5"/>
        <v>38.75684203007863</v>
      </c>
      <c r="AJ68" s="485">
        <f t="shared" ca="1" si="6"/>
        <v>45.612038939483561</v>
      </c>
      <c r="AK68" s="627">
        <f t="shared" ca="1" si="9"/>
        <v>40.558247260766521</v>
      </c>
      <c r="AL68" s="482"/>
    </row>
    <row r="69" spans="16:61" x14ac:dyDescent="0.2">
      <c r="P69" s="961">
        <v>9.1999999999999993</v>
      </c>
      <c r="Q69" s="962"/>
      <c r="R69" s="963">
        <v>77.099999999999994</v>
      </c>
      <c r="S69" s="962"/>
      <c r="AA69" s="483">
        <f t="shared" ca="1" si="7"/>
        <v>10</v>
      </c>
      <c r="AB69" s="484">
        <f t="shared" ca="1" si="0"/>
        <v>4.9467360247874907</v>
      </c>
      <c r="AC69" s="484">
        <f t="shared" ca="1" si="1"/>
        <v>2.2271399999999999</v>
      </c>
      <c r="AD69" s="484">
        <f t="shared" ca="1" si="8"/>
        <v>960</v>
      </c>
      <c r="AE69" s="485">
        <f t="shared" ca="1" si="2"/>
        <v>69.105999999999995</v>
      </c>
      <c r="AF69" s="482"/>
      <c r="AG69" s="483">
        <f t="shared" ca="1" si="3"/>
        <v>30.130983267296557</v>
      </c>
      <c r="AH69" s="484">
        <f t="shared" ca="1" si="4"/>
        <v>55.45539553687545</v>
      </c>
      <c r="AI69" s="484">
        <f t="shared" ca="1" si="5"/>
        <v>46.864070383020419</v>
      </c>
      <c r="AJ69" s="485">
        <f t="shared" ca="1" si="6"/>
        <v>50.615977037856474</v>
      </c>
      <c r="AK69" s="627">
        <f t="shared" ca="1" si="9"/>
        <v>45.766606556262225</v>
      </c>
      <c r="AL69" s="482"/>
      <c r="BD69" s="4"/>
    </row>
    <row r="70" spans="16:61" x14ac:dyDescent="0.2">
      <c r="AA70" s="483">
        <f t="shared" ca="1" si="7"/>
        <v>9</v>
      </c>
      <c r="AB70" s="484">
        <f t="shared" ca="1" si="0"/>
        <v>3.6293567322283229</v>
      </c>
      <c r="AC70" s="484">
        <f t="shared" ca="1" si="1"/>
        <v>2.003018</v>
      </c>
      <c r="AD70" s="484">
        <f t="shared" ca="1" si="8"/>
        <v>164</v>
      </c>
      <c r="AE70" s="485">
        <f t="shared" ca="1" si="2"/>
        <v>78.533399999999986</v>
      </c>
      <c r="AF70" s="482"/>
      <c r="AG70" s="483">
        <f t="shared" ca="1" si="3"/>
        <v>23.823150289545872</v>
      </c>
      <c r="AH70" s="484">
        <f t="shared" ca="1" si="4"/>
        <v>55.833404289082736</v>
      </c>
      <c r="AI70" s="484">
        <f t="shared" ca="1" si="5"/>
        <v>42.271018908775062</v>
      </c>
      <c r="AJ70" s="485">
        <f t="shared" ca="1" si="6"/>
        <v>29.758520728008556</v>
      </c>
      <c r="AK70" s="627">
        <f t="shared" ca="1" si="9"/>
        <v>37.921523553853056</v>
      </c>
      <c r="AL70" s="482"/>
    </row>
    <row r="71" spans="16:61" x14ac:dyDescent="0.2">
      <c r="AA71" s="483">
        <f t="shared" ca="1" si="7"/>
        <v>16</v>
      </c>
      <c r="AB71" s="484">
        <f t="shared" ca="1" si="0"/>
        <v>18.379198818405975</v>
      </c>
      <c r="AC71" s="484">
        <f t="shared" ca="1" si="1"/>
        <v>3.5718719999999999</v>
      </c>
      <c r="AD71" s="484">
        <f t="shared" ca="1" si="8"/>
        <v>190</v>
      </c>
      <c r="AE71" s="485">
        <f t="shared" ca="1" si="2"/>
        <v>12.541599999999988</v>
      </c>
      <c r="AF71" s="482"/>
      <c r="AG71" s="483">
        <f t="shared" ca="1" si="3"/>
        <v>24.02918503505029</v>
      </c>
      <c r="AH71" s="484">
        <f t="shared" ca="1" si="4"/>
        <v>36.048091498365409</v>
      </c>
      <c r="AI71" s="484">
        <f t="shared" ca="1" si="5"/>
        <v>14.888663897800665</v>
      </c>
      <c r="AJ71" s="485">
        <f t="shared" ca="1" si="6"/>
        <v>11.073307868391044</v>
      </c>
      <c r="AK71" s="627">
        <f t="shared" ca="1" si="9"/>
        <v>21.509812074901852</v>
      </c>
      <c r="AL71" s="482"/>
    </row>
    <row r="72" spans="16:61" x14ac:dyDescent="0.2">
      <c r="AA72" s="483">
        <f t="shared" ca="1" si="7"/>
        <v>6</v>
      </c>
      <c r="AB72" s="484">
        <f t="shared" ca="1" si="0"/>
        <v>1.0396976224741601</v>
      </c>
      <c r="AC72" s="484">
        <f t="shared" ca="1" si="1"/>
        <v>1.3306519999999999</v>
      </c>
      <c r="AD72" s="484">
        <f t="shared" ca="1" si="8"/>
        <v>624</v>
      </c>
      <c r="AE72" s="485">
        <f t="shared" ca="1" si="2"/>
        <v>106.81559999999999</v>
      </c>
      <c r="AF72" s="482"/>
      <c r="AG72" s="483">
        <f t="shared" ca="1" si="3"/>
        <v>27.468380402316367</v>
      </c>
      <c r="AH72" s="484">
        <f t="shared" ca="1" si="4"/>
        <v>77.309985271671522</v>
      </c>
      <c r="AI72" s="484">
        <f t="shared" ca="1" si="5"/>
        <v>59.063812062997258</v>
      </c>
      <c r="AJ72" s="485">
        <f t="shared" ca="1" si="6"/>
        <v>46.224493812997196</v>
      </c>
      <c r="AK72" s="627">
        <f t="shared" ca="1" si="9"/>
        <v>52.516667887495586</v>
      </c>
      <c r="AL72" s="482"/>
      <c r="BI72" s="4"/>
    </row>
    <row r="73" spans="16:61" x14ac:dyDescent="0.2">
      <c r="AA73" s="483">
        <f t="shared" ca="1" si="7"/>
        <v>8</v>
      </c>
      <c r="AB73" s="484">
        <f t="shared" ca="1" si="0"/>
        <v>2.5487599750311212</v>
      </c>
      <c r="AC73" s="484">
        <f t="shared" ca="1" si="1"/>
        <v>1.7788959999999998</v>
      </c>
      <c r="AD73" s="484">
        <f t="shared" ca="1" si="8"/>
        <v>461</v>
      </c>
      <c r="AE73" s="485">
        <f t="shared" ca="1" si="2"/>
        <v>87.960799999999992</v>
      </c>
      <c r="AF73" s="482"/>
      <c r="AG73" s="483">
        <f t="shared" ca="1" si="3"/>
        <v>26.176701036269428</v>
      </c>
      <c r="AH73" s="484">
        <f t="shared" ca="1" si="4"/>
        <v>62.42423850957497</v>
      </c>
      <c r="AI73" s="484">
        <f t="shared" ca="1" si="5"/>
        <v>49.410811079759824</v>
      </c>
      <c r="AJ73" s="485">
        <f t="shared" ca="1" si="6"/>
        <v>39.611004817887753</v>
      </c>
      <c r="AK73" s="627">
        <f t="shared" ca="1" si="9"/>
        <v>44.405688860872999</v>
      </c>
      <c r="AL73" s="482"/>
      <c r="BI73" s="4"/>
    </row>
    <row r="74" spans="16:61" x14ac:dyDescent="0.2">
      <c r="AA74" s="483">
        <f t="shared" ca="1" si="7"/>
        <v>12</v>
      </c>
      <c r="AB74" s="484">
        <f t="shared" ca="1" si="0"/>
        <v>8.3371886632508829</v>
      </c>
      <c r="AC74" s="484">
        <f t="shared" ca="1" si="1"/>
        <v>2.6753840000000002</v>
      </c>
      <c r="AD74" s="484">
        <f t="shared" ca="1" si="8"/>
        <v>154</v>
      </c>
      <c r="AE74" s="485">
        <f t="shared" ca="1" si="2"/>
        <v>50.251199999999983</v>
      </c>
      <c r="AF74" s="482"/>
      <c r="AG74" s="483">
        <f t="shared" ca="1" si="3"/>
        <v>23.743906156659556</v>
      </c>
      <c r="AH74" s="484">
        <f t="shared" ca="1" si="4"/>
        <v>45.131188265576768</v>
      </c>
      <c r="AI74" s="484">
        <f t="shared" ca="1" si="5"/>
        <v>30.308765224226754</v>
      </c>
      <c r="AJ74" s="485">
        <f t="shared" ca="1" si="6"/>
        <v>23.275247539483562</v>
      </c>
      <c r="AK74" s="627">
        <f t="shared" ca="1" si="9"/>
        <v>30.614776796486659</v>
      </c>
      <c r="AL74" s="482"/>
      <c r="BI74" s="4"/>
    </row>
    <row r="75" spans="16:61" x14ac:dyDescent="0.2">
      <c r="AA75" s="483">
        <f t="shared" ca="1" si="7"/>
        <v>13</v>
      </c>
      <c r="AB75" s="484">
        <f t="shared" ca="1" si="0"/>
        <v>10.42900695605948</v>
      </c>
      <c r="AC75" s="484">
        <f t="shared" ca="1" si="1"/>
        <v>2.8995060000000001</v>
      </c>
      <c r="AD75" s="484">
        <f t="shared" ca="1" si="8"/>
        <v>236</v>
      </c>
      <c r="AE75" s="485">
        <f t="shared" ca="1" si="2"/>
        <v>40.823799999999991</v>
      </c>
      <c r="AF75" s="482"/>
      <c r="AG75" s="483">
        <f t="shared" ca="1" si="3"/>
        <v>24.39370804632734</v>
      </c>
      <c r="AH75" s="484">
        <f t="shared" ca="1" si="4"/>
        <v>42.670752662850582</v>
      </c>
      <c r="AI75" s="484">
        <f t="shared" ca="1" si="5"/>
        <v>27.237360739922888</v>
      </c>
      <c r="AJ75" s="485">
        <f t="shared" ca="1" si="6"/>
        <v>22.848002476039916</v>
      </c>
      <c r="AK75" s="627">
        <f t="shared" ca="1" si="9"/>
        <v>29.287455981285184</v>
      </c>
      <c r="AL75" s="482"/>
      <c r="BI75" s="4"/>
    </row>
    <row r="76" spans="16:61" x14ac:dyDescent="0.2">
      <c r="AA76" s="483">
        <f t="shared" ca="1" si="7"/>
        <v>6</v>
      </c>
      <c r="AB76" s="484">
        <f t="shared" ca="1" si="0"/>
        <v>1.0396976224741601</v>
      </c>
      <c r="AC76" s="484">
        <f t="shared" ca="1" si="1"/>
        <v>1.3306519999999999</v>
      </c>
      <c r="AD76" s="484">
        <f t="shared" ca="1" si="8"/>
        <v>107</v>
      </c>
      <c r="AE76" s="485">
        <f t="shared" ca="1" si="2"/>
        <v>106.81559999999999</v>
      </c>
      <c r="AF76" s="482"/>
      <c r="AG76" s="483">
        <f t="shared" ca="1" si="3"/>
        <v>23.371458732093874</v>
      </c>
      <c r="AH76" s="484">
        <f t="shared" ca="1" si="4"/>
        <v>72.612902420873155</v>
      </c>
      <c r="AI76" s="484">
        <f t="shared" ca="1" si="5"/>
        <v>53.514058938949709</v>
      </c>
      <c r="AJ76" s="485">
        <f t="shared" ca="1" si="6"/>
        <v>31.550896412997194</v>
      </c>
      <c r="AK76" s="627">
        <f t="shared" ca="1" si="9"/>
        <v>45.262329126228479</v>
      </c>
      <c r="AL76" s="482"/>
      <c r="BI76" s="4"/>
    </row>
    <row r="77" spans="16:61" x14ac:dyDescent="0.2">
      <c r="AA77" s="483">
        <f t="shared" ca="1" si="7"/>
        <v>6</v>
      </c>
      <c r="AB77" s="484">
        <f t="shared" ca="1" si="0"/>
        <v>1.0396976224741601</v>
      </c>
      <c r="AC77" s="484">
        <f t="shared" ca="1" si="1"/>
        <v>1.3306519999999999</v>
      </c>
      <c r="AD77" s="484">
        <f t="shared" ca="1" si="8"/>
        <v>145</v>
      </c>
      <c r="AE77" s="485">
        <f t="shared" ca="1" si="2"/>
        <v>106.81559999999999</v>
      </c>
      <c r="AF77" s="482"/>
      <c r="AG77" s="483">
        <f t="shared" ca="1" si="3"/>
        <v>23.67258643706187</v>
      </c>
      <c r="AH77" s="484">
        <f t="shared" ca="1" si="4"/>
        <v>72.938621527502718</v>
      </c>
      <c r="AI77" s="484">
        <f t="shared" ca="1" si="5"/>
        <v>53.92197116083328</v>
      </c>
      <c r="AJ77" s="485">
        <f t="shared" ca="1" si="6"/>
        <v>32.629420012997194</v>
      </c>
      <c r="AK77" s="627">
        <f t="shared" ca="1" si="9"/>
        <v>45.790649784598763</v>
      </c>
      <c r="AL77" s="482"/>
      <c r="BI77" s="4"/>
    </row>
    <row r="78" spans="16:61" x14ac:dyDescent="0.2">
      <c r="AA78" s="483">
        <f t="shared" ca="1" si="7"/>
        <v>8</v>
      </c>
      <c r="AB78" s="484">
        <f t="shared" ca="1" si="0"/>
        <v>2.5487599750311212</v>
      </c>
      <c r="AC78" s="484">
        <f t="shared" ca="1" si="1"/>
        <v>1.7788959999999998</v>
      </c>
      <c r="AD78" s="484">
        <f t="shared" ca="1" si="8"/>
        <v>684</v>
      </c>
      <c r="AE78" s="485">
        <f t="shared" ca="1" si="2"/>
        <v>87.960799999999992</v>
      </c>
      <c r="AF78" s="482"/>
      <c r="AG78" s="483">
        <f t="shared" ca="1" si="3"/>
        <v>27.943845199634257</v>
      </c>
      <c r="AH78" s="484">
        <f t="shared" ca="1" si="4"/>
        <v>63.863023446308908</v>
      </c>
      <c r="AI78" s="484">
        <f t="shared" ca="1" si="5"/>
        <v>51.804611750287101</v>
      </c>
      <c r="AJ78" s="485">
        <f t="shared" ca="1" si="6"/>
        <v>45.940235417887742</v>
      </c>
      <c r="AK78" s="627">
        <f t="shared" ca="1" si="9"/>
        <v>47.387928953529503</v>
      </c>
      <c r="AL78" s="482"/>
      <c r="BI78" s="4"/>
    </row>
    <row r="79" spans="16:61" x14ac:dyDescent="0.2">
      <c r="AA79" s="483">
        <f t="shared" ca="1" si="7"/>
        <v>8</v>
      </c>
      <c r="AB79" s="484">
        <f t="shared" ca="1" si="0"/>
        <v>2.5487599750311212</v>
      </c>
      <c r="AC79" s="484">
        <f t="shared" ca="1" si="1"/>
        <v>1.7788959999999998</v>
      </c>
      <c r="AD79" s="484">
        <f t="shared" ca="1" si="8"/>
        <v>332</v>
      </c>
      <c r="AE79" s="485">
        <f t="shared" ca="1" si="2"/>
        <v>87.960799999999992</v>
      </c>
      <c r="AF79" s="482"/>
      <c r="AG79" s="483">
        <f t="shared" ca="1" si="3"/>
        <v>25.154451722035965</v>
      </c>
      <c r="AH79" s="484">
        <f t="shared" ca="1" si="4"/>
        <v>61.621154305827666</v>
      </c>
      <c r="AI79" s="484">
        <f t="shared" ca="1" si="5"/>
        <v>48.02605643178665</v>
      </c>
      <c r="AJ79" s="485">
        <f t="shared" ca="1" si="6"/>
        <v>35.949701017887747</v>
      </c>
      <c r="AK79" s="627">
        <f t="shared" ca="1" si="9"/>
        <v>42.687840869384509</v>
      </c>
      <c r="AL79" s="482"/>
      <c r="BI79" s="4"/>
    </row>
    <row r="80" spans="16:61" x14ac:dyDescent="0.2">
      <c r="AA80" s="483">
        <f t="shared" ca="1" si="7"/>
        <v>6</v>
      </c>
      <c r="AB80" s="484">
        <f t="shared" ca="1" si="0"/>
        <v>1.0396976224741601</v>
      </c>
      <c r="AC80" s="484">
        <f t="shared" ca="1" si="1"/>
        <v>1.3306519999999999</v>
      </c>
      <c r="AD80" s="484">
        <f t="shared" ca="1" si="8"/>
        <v>765</v>
      </c>
      <c r="AE80" s="485">
        <f t="shared" ca="1" si="2"/>
        <v>106.81559999999999</v>
      </c>
      <c r="AF80" s="482"/>
      <c r="AG80" s="483">
        <f t="shared" ca="1" si="3"/>
        <v>28.585722676013411</v>
      </c>
      <c r="AH80" s="484">
        <f t="shared" ca="1" si="4"/>
        <v>78.698366430934215</v>
      </c>
      <c r="AI80" s="484">
        <f t="shared" ca="1" si="5"/>
        <v>60.577381096828404</v>
      </c>
      <c r="AJ80" s="485">
        <f t="shared" ca="1" si="6"/>
        <v>50.226384012997194</v>
      </c>
      <c r="AK80" s="627">
        <f t="shared" ca="1" si="9"/>
        <v>54.521963554193306</v>
      </c>
      <c r="AL80" s="482"/>
    </row>
    <row r="81" spans="27:38" x14ac:dyDescent="0.2">
      <c r="AA81" s="483">
        <f t="shared" ca="1" si="7"/>
        <v>7</v>
      </c>
      <c r="AB81" s="484">
        <f t="shared" ca="1" si="0"/>
        <v>1.6910619505690725</v>
      </c>
      <c r="AC81" s="484">
        <f t="shared" ca="1" si="1"/>
        <v>1.5547739999999999</v>
      </c>
      <c r="AD81" s="484">
        <f t="shared" ca="1" si="8"/>
        <v>804</v>
      </c>
      <c r="AE81" s="485">
        <f t="shared" ca="1" si="2"/>
        <v>97.388199999999998</v>
      </c>
      <c r="AF81" s="482"/>
      <c r="AG81" s="483">
        <f t="shared" ca="1" si="3"/>
        <v>28.894774794270042</v>
      </c>
      <c r="AH81" s="484">
        <f t="shared" ca="1" si="4"/>
        <v>71.15429628713153</v>
      </c>
      <c r="AI81" s="484">
        <f t="shared" ca="1" si="5"/>
        <v>57.044391729866803</v>
      </c>
      <c r="AJ81" s="485">
        <f t="shared" ca="1" si="6"/>
        <v>50.475548624030473</v>
      </c>
      <c r="AK81" s="627">
        <f t="shared" ca="1" si="9"/>
        <v>51.892252858824705</v>
      </c>
      <c r="AL81" s="482"/>
    </row>
    <row r="82" spans="27:38" x14ac:dyDescent="0.2">
      <c r="AA82" s="483">
        <f t="shared" ca="1" si="7"/>
        <v>8</v>
      </c>
      <c r="AB82" s="484">
        <f t="shared" ca="1" si="0"/>
        <v>2.5487599750311212</v>
      </c>
      <c r="AC82" s="484">
        <f t="shared" ca="1" si="1"/>
        <v>1.7788959999999998</v>
      </c>
      <c r="AD82" s="484">
        <f t="shared" ca="1" si="8"/>
        <v>669</v>
      </c>
      <c r="AE82" s="485">
        <f t="shared" ca="1" si="2"/>
        <v>87.960799999999992</v>
      </c>
      <c r="AF82" s="482"/>
      <c r="AG82" s="483">
        <f t="shared" ca="1" si="3"/>
        <v>27.824979000304786</v>
      </c>
      <c r="AH82" s="484">
        <f t="shared" ca="1" si="4"/>
        <v>63.764166836078395</v>
      </c>
      <c r="AI82" s="484">
        <f t="shared" ca="1" si="5"/>
        <v>51.643593767964639</v>
      </c>
      <c r="AJ82" s="485">
        <f t="shared" ca="1" si="6"/>
        <v>45.514502417887755</v>
      </c>
      <c r="AK82" s="627">
        <f t="shared" ca="1" si="9"/>
        <v>47.186810505558896</v>
      </c>
      <c r="AL82" s="482"/>
    </row>
    <row r="83" spans="27:38" x14ac:dyDescent="0.2">
      <c r="AA83" s="483">
        <f t="shared" ca="1" si="7"/>
        <v>12</v>
      </c>
      <c r="AB83" s="484">
        <f t="shared" ca="1" si="0"/>
        <v>8.3371886632508829</v>
      </c>
      <c r="AC83" s="484">
        <f t="shared" ca="1" si="1"/>
        <v>2.6753840000000002</v>
      </c>
      <c r="AD83" s="484">
        <f t="shared" ca="1" si="8"/>
        <v>169</v>
      </c>
      <c r="AE83" s="485">
        <f t="shared" ca="1" si="2"/>
        <v>50.251199999999983</v>
      </c>
      <c r="AF83" s="482"/>
      <c r="AG83" s="483">
        <f t="shared" ca="1" si="3"/>
        <v>23.86277235598903</v>
      </c>
      <c r="AH83" s="484">
        <f t="shared" ca="1" si="4"/>
        <v>45.180688717609584</v>
      </c>
      <c r="AI83" s="484">
        <f t="shared" ca="1" si="5"/>
        <v>30.46978320654922</v>
      </c>
      <c r="AJ83" s="485">
        <f t="shared" ca="1" si="6"/>
        <v>23.700980539483563</v>
      </c>
      <c r="AK83" s="627">
        <f t="shared" ca="1" si="9"/>
        <v>30.803556204907853</v>
      </c>
      <c r="AL83" s="482"/>
    </row>
    <row r="84" spans="27:38" x14ac:dyDescent="0.2">
      <c r="AA84" s="483">
        <f t="shared" ca="1" si="7"/>
        <v>12</v>
      </c>
      <c r="AB84" s="484">
        <f t="shared" ca="1" si="0"/>
        <v>8.3371886632508829</v>
      </c>
      <c r="AC84" s="484">
        <f t="shared" ca="1" si="1"/>
        <v>2.6753840000000002</v>
      </c>
      <c r="AD84" s="484">
        <f t="shared" ca="1" si="8"/>
        <v>156</v>
      </c>
      <c r="AE84" s="485">
        <f t="shared" ca="1" si="2"/>
        <v>50.251199999999983</v>
      </c>
      <c r="AF84" s="482"/>
      <c r="AG84" s="483">
        <f t="shared" ca="1" si="3"/>
        <v>23.759754983236817</v>
      </c>
      <c r="AH84" s="484">
        <f t="shared" ca="1" si="4"/>
        <v>45.137782057980992</v>
      </c>
      <c r="AI84" s="484">
        <f t="shared" ca="1" si="5"/>
        <v>30.330234288536417</v>
      </c>
      <c r="AJ84" s="485">
        <f t="shared" ca="1" si="6"/>
        <v>23.332011939483564</v>
      </c>
      <c r="AK84" s="627">
        <f t="shared" ca="1" si="9"/>
        <v>30.639945817309449</v>
      </c>
      <c r="AL84" s="482"/>
    </row>
    <row r="85" spans="27:38" x14ac:dyDescent="0.2">
      <c r="AA85" s="483">
        <f t="shared" ca="1" si="7"/>
        <v>11</v>
      </c>
      <c r="AB85" s="484">
        <f t="shared" ca="1" si="0"/>
        <v>6.5126594683761416</v>
      </c>
      <c r="AC85" s="484">
        <f t="shared" ca="1" si="1"/>
        <v>2.4512619999999998</v>
      </c>
      <c r="AD85" s="484">
        <f t="shared" ca="1" si="8"/>
        <v>807</v>
      </c>
      <c r="AE85" s="485">
        <f t="shared" ca="1" si="2"/>
        <v>59.678599999999989</v>
      </c>
      <c r="AF85" s="482"/>
      <c r="AG85" s="483">
        <f t="shared" ca="1" si="3"/>
        <v>28.918548034135934</v>
      </c>
      <c r="AH85" s="484">
        <f t="shared" ca="1" si="4"/>
        <v>50.785999477948302</v>
      </c>
      <c r="AI85" s="484">
        <f t="shared" ca="1" si="5"/>
        <v>41.270050842331294</v>
      </c>
      <c r="AJ85" s="485">
        <f t="shared" ca="1" si="6"/>
        <v>44.211433206967406</v>
      </c>
      <c r="AK85" s="627">
        <f t="shared" ca="1" si="9"/>
        <v>41.29650789034573</v>
      </c>
      <c r="AL85" s="482"/>
    </row>
    <row r="86" spans="27:38" x14ac:dyDescent="0.2">
      <c r="AA86" s="483">
        <f t="shared" ca="1" si="7"/>
        <v>14</v>
      </c>
      <c r="AB86" s="484">
        <f t="shared" ca="1" si="0"/>
        <v>12.795667543366134</v>
      </c>
      <c r="AC86" s="484">
        <f t="shared" ca="1" si="1"/>
        <v>3.1236280000000001</v>
      </c>
      <c r="AD86" s="484">
        <f t="shared" ca="1" si="8"/>
        <v>415</v>
      </c>
      <c r="AE86" s="485">
        <f t="shared" ca="1" si="2"/>
        <v>31.3964</v>
      </c>
      <c r="AF86" s="482"/>
      <c r="AG86" s="483">
        <f t="shared" ca="1" si="3"/>
        <v>25.812178024992381</v>
      </c>
      <c r="AH86" s="484">
        <f t="shared" ca="1" si="4"/>
        <v>40.723411437726341</v>
      </c>
      <c r="AI86" s="484">
        <f t="shared" ca="1" si="5"/>
        <v>25.207205874637612</v>
      </c>
      <c r="AJ86" s="485">
        <f t="shared" ca="1" si="6"/>
        <v>24.811908081656114</v>
      </c>
      <c r="AK86" s="627">
        <f t="shared" ca="1" si="9"/>
        <v>29.13867585475311</v>
      </c>
      <c r="AL86" s="482"/>
    </row>
    <row r="87" spans="27:38" x14ac:dyDescent="0.2">
      <c r="AA87" s="483">
        <f t="shared" ca="1" si="7"/>
        <v>13</v>
      </c>
      <c r="AB87" s="484">
        <f t="shared" ca="1" si="0"/>
        <v>10.42900695605948</v>
      </c>
      <c r="AC87" s="484">
        <f t="shared" ca="1" si="1"/>
        <v>2.8995060000000001</v>
      </c>
      <c r="AD87" s="484">
        <f t="shared" ca="1" si="8"/>
        <v>863</v>
      </c>
      <c r="AE87" s="485">
        <f t="shared" ca="1" si="2"/>
        <v>40.823799999999991</v>
      </c>
      <c r="AF87" s="482"/>
      <c r="AG87" s="483">
        <f t="shared" ca="1" si="3"/>
        <v>29.362315178299298</v>
      </c>
      <c r="AH87" s="484">
        <f t="shared" ca="1" si="4"/>
        <v>44.60201194719032</v>
      </c>
      <c r="AI87" s="484">
        <f t="shared" ca="1" si="5"/>
        <v>33.967912401001826</v>
      </c>
      <c r="AJ87" s="485">
        <f t="shared" ca="1" si="6"/>
        <v>40.643641876039915</v>
      </c>
      <c r="AK87" s="627">
        <f t="shared" ca="1" si="9"/>
        <v>37.143970350632841</v>
      </c>
      <c r="AL87" s="482"/>
    </row>
    <row r="88" spans="27:38" x14ac:dyDescent="0.2">
      <c r="AA88" s="483">
        <f t="shared" ca="1" si="7"/>
        <v>13</v>
      </c>
      <c r="AB88" s="484">
        <f t="shared" ca="1" si="0"/>
        <v>10.42900695605948</v>
      </c>
      <c r="AC88" s="484">
        <f t="shared" ca="1" si="1"/>
        <v>2.8995060000000001</v>
      </c>
      <c r="AD88" s="484">
        <f t="shared" ca="1" si="8"/>
        <v>158</v>
      </c>
      <c r="AE88" s="485">
        <f t="shared" ca="1" si="2"/>
        <v>40.823799999999991</v>
      </c>
      <c r="AF88" s="482"/>
      <c r="AG88" s="483">
        <f t="shared" ca="1" si="3"/>
        <v>23.775603809814083</v>
      </c>
      <c r="AH88" s="484">
        <f t="shared" ca="1" si="4"/>
        <v>42.442134665666309</v>
      </c>
      <c r="AI88" s="484">
        <f t="shared" ca="1" si="5"/>
        <v>26.40006723184608</v>
      </c>
      <c r="AJ88" s="485">
        <f t="shared" ca="1" si="6"/>
        <v>20.634190876039909</v>
      </c>
      <c r="AK88" s="627">
        <f t="shared" ca="1" si="9"/>
        <v>28.312999145841594</v>
      </c>
      <c r="AL88" s="482"/>
    </row>
    <row r="89" spans="27:38" x14ac:dyDescent="0.2">
      <c r="AA89" s="483">
        <f t="shared" ca="1" si="7"/>
        <v>16</v>
      </c>
      <c r="AB89" s="484">
        <f t="shared" ca="1" si="0"/>
        <v>18.379198818405975</v>
      </c>
      <c r="AC89" s="484">
        <f t="shared" ca="1" si="1"/>
        <v>3.5718719999999999</v>
      </c>
      <c r="AD89" s="484">
        <f t="shared" ca="1" si="8"/>
        <v>948</v>
      </c>
      <c r="AE89" s="485">
        <f t="shared" ca="1" si="2"/>
        <v>12.541599999999988</v>
      </c>
      <c r="AF89" s="482"/>
      <c r="AG89" s="483">
        <f t="shared" ca="1" si="3"/>
        <v>30.035890307832979</v>
      </c>
      <c r="AH89" s="484">
        <f t="shared" ca="1" si="4"/>
        <v>37.71597258707861</v>
      </c>
      <c r="AI89" s="484">
        <f t="shared" ca="1" si="5"/>
        <v>23.02543927116244</v>
      </c>
      <c r="AJ89" s="485">
        <f t="shared" ca="1" si="6"/>
        <v>32.587015468391051</v>
      </c>
      <c r="AK89" s="627">
        <f t="shared" ca="1" si="9"/>
        <v>30.841079408616274</v>
      </c>
      <c r="AL89" s="482"/>
    </row>
    <row r="90" spans="27:38" x14ac:dyDescent="0.2">
      <c r="AA90" s="483">
        <f t="shared" ca="1" si="7"/>
        <v>12</v>
      </c>
      <c r="AB90" s="484">
        <f t="shared" ca="1" si="0"/>
        <v>8.3371886632508829</v>
      </c>
      <c r="AC90" s="484">
        <f t="shared" ca="1" si="1"/>
        <v>2.6753840000000002</v>
      </c>
      <c r="AD90" s="484">
        <f t="shared" ca="1" si="8"/>
        <v>521</v>
      </c>
      <c r="AE90" s="485">
        <f t="shared" ca="1" si="2"/>
        <v>50.251199999999983</v>
      </c>
      <c r="AF90" s="482"/>
      <c r="AG90" s="483">
        <f t="shared" ca="1" si="3"/>
        <v>26.652165833587322</v>
      </c>
      <c r="AH90" s="484">
        <f t="shared" ca="1" si="4"/>
        <v>46.37429507166835</v>
      </c>
      <c r="AI90" s="484">
        <f t="shared" ca="1" si="5"/>
        <v>34.248338525049675</v>
      </c>
      <c r="AJ90" s="485">
        <f t="shared" ca="1" si="6"/>
        <v>33.691514939483561</v>
      </c>
      <c r="AK90" s="627">
        <f t="shared" ca="1" si="9"/>
        <v>35.241578592447226</v>
      </c>
      <c r="AL90" s="482"/>
    </row>
    <row r="91" spans="27:38" x14ac:dyDescent="0.2">
      <c r="AA91" s="483">
        <f t="shared" ca="1" si="7"/>
        <v>16</v>
      </c>
      <c r="AB91" s="484">
        <f t="shared" ca="1" si="0"/>
        <v>18.379198818405975</v>
      </c>
      <c r="AC91" s="484">
        <f t="shared" ca="1" si="1"/>
        <v>3.5718719999999999</v>
      </c>
      <c r="AD91" s="484">
        <f t="shared" ca="1" si="8"/>
        <v>182</v>
      </c>
      <c r="AE91" s="485">
        <f t="shared" ca="1" si="2"/>
        <v>12.541599999999988</v>
      </c>
      <c r="AF91" s="482"/>
      <c r="AG91" s="483">
        <f t="shared" ca="1" si="3"/>
        <v>23.965789728741239</v>
      </c>
      <c r="AH91" s="484">
        <f t="shared" ca="1" si="4"/>
        <v>36.031274821371319</v>
      </c>
      <c r="AI91" s="484">
        <f t="shared" ca="1" si="5"/>
        <v>14.80278764056202</v>
      </c>
      <c r="AJ91" s="485">
        <f t="shared" ca="1" si="6"/>
        <v>10.846250268391042</v>
      </c>
      <c r="AK91" s="627">
        <f t="shared" ca="1" si="9"/>
        <v>21.411525614766404</v>
      </c>
      <c r="AL91" s="482"/>
    </row>
    <row r="92" spans="27:38" x14ac:dyDescent="0.2">
      <c r="AA92" s="483">
        <f t="shared" ca="1" si="7"/>
        <v>7</v>
      </c>
      <c r="AB92" s="484">
        <f t="shared" ref="AB92:AB155" ca="1" si="11">10^(-2.729937+1.909478*LOG(AA92)+1.085681*LOG(3.281*(1.3+EXP(4.5503-11.4582*(AA92*2.54)^-0.5994))))/$G$30</f>
        <v>1.6910619505690725</v>
      </c>
      <c r="AC92" s="484">
        <f t="shared" ref="AC92:AC155" ca="1" si="12">-0.01408+0.224122*AA92</f>
        <v>1.5547739999999999</v>
      </c>
      <c r="AD92" s="484">
        <f t="shared" ca="1" si="8"/>
        <v>346</v>
      </c>
      <c r="AE92" s="485">
        <f t="shared" ref="AE92:AE155" ca="1" si="13">-9.4274*AA92+163.38</f>
        <v>97.388199999999998</v>
      </c>
      <c r="AF92" s="482"/>
      <c r="AG92" s="483">
        <f t="shared" ref="AG92:AG155" ca="1" si="14">20.3761+0.1734*35.86/3.281+0.0244*33.92/3.281+0.026*AD92/3.281</f>
        <v>25.265393508076805</v>
      </c>
      <c r="AH92" s="484">
        <f t="shared" ref="AH92:AH155" ca="1" si="15">(1/(0.0003089+0.0000001165*(AD92/3.281)-0.0000003168*(100/3.281)-0.0000001696*(AD92/3.281)-0.000001496*(AE92)))/100</f>
        <v>67.58950457333313</v>
      </c>
      <c r="AI92" s="484">
        <f t="shared" ref="AI92:AI155" ca="1" si="16">(714.1783+1.4775*(100/3.281)+3.522*(AD92/3.281)+41.9165*(AE92))/100</f>
        <v>52.127976002954277</v>
      </c>
      <c r="AJ92" s="485">
        <f t="shared" ref="AJ92:AJ155" ca="1" si="17">(((11.2+0.853*141.1/3.281)+(103+2.66*AD92+0.0384*AD92*AF92)+(236+1550*0.96-4540*0.96*AB92/35.315)+(21.9+3.04*101.7/3.281)+(36.8+0.65*141.1/3.281)+(-162+852*0.96+5105*0.83*0.021))*(1+0.067))/100</f>
        <v>37.476501024030476</v>
      </c>
      <c r="AK92" s="627">
        <f t="shared" ca="1" si="9"/>
        <v>45.614843777098677</v>
      </c>
      <c r="AL92" s="482"/>
    </row>
    <row r="93" spans="27:38" x14ac:dyDescent="0.2">
      <c r="AA93" s="483">
        <f t="shared" ref="AA93:AA156" ca="1" si="18">RANDBETWEEN(6,16)</f>
        <v>7</v>
      </c>
      <c r="AB93" s="484">
        <f t="shared" ca="1" si="11"/>
        <v>1.6910619505690725</v>
      </c>
      <c r="AC93" s="484">
        <f t="shared" ca="1" si="12"/>
        <v>1.5547739999999999</v>
      </c>
      <c r="AD93" s="484">
        <f t="shared" ref="AD93:AD156" ca="1" si="19">RANDBETWEEN(100,1000)</f>
        <v>405</v>
      </c>
      <c r="AE93" s="485">
        <f t="shared" ca="1" si="13"/>
        <v>97.388199999999998</v>
      </c>
      <c r="AF93" s="482"/>
      <c r="AG93" s="483">
        <f t="shared" ca="1" si="14"/>
        <v>25.732933892106065</v>
      </c>
      <c r="AH93" s="484">
        <f t="shared" ca="1" si="15"/>
        <v>68.028551345174563</v>
      </c>
      <c r="AI93" s="484">
        <f t="shared" ca="1" si="16"/>
        <v>52.761313400089293</v>
      </c>
      <c r="AJ93" s="485">
        <f t="shared" ca="1" si="17"/>
        <v>39.15105082403047</v>
      </c>
      <c r="AK93" s="627">
        <f t="shared" ref="AK93:AK156" ca="1" si="20">AVERAGE(AG93:AJ93)</f>
        <v>46.418462365350102</v>
      </c>
      <c r="AL93" s="482"/>
    </row>
    <row r="94" spans="27:38" x14ac:dyDescent="0.2">
      <c r="AA94" s="483">
        <f t="shared" ca="1" si="18"/>
        <v>6</v>
      </c>
      <c r="AB94" s="484">
        <f t="shared" ca="1" si="11"/>
        <v>1.0396976224741601</v>
      </c>
      <c r="AC94" s="484">
        <f t="shared" ca="1" si="12"/>
        <v>1.3306519999999999</v>
      </c>
      <c r="AD94" s="484">
        <f t="shared" ca="1" si="19"/>
        <v>457</v>
      </c>
      <c r="AE94" s="485">
        <f t="shared" ca="1" si="13"/>
        <v>106.81559999999999</v>
      </c>
      <c r="AF94" s="482"/>
      <c r="AG94" s="483">
        <f t="shared" ca="1" si="14"/>
        <v>26.145003383114904</v>
      </c>
      <c r="AH94" s="484">
        <f t="shared" ca="1" si="15"/>
        <v>75.727663121797619</v>
      </c>
      <c r="AI94" s="484">
        <f t="shared" ca="1" si="16"/>
        <v>57.271145193140498</v>
      </c>
      <c r="AJ94" s="485">
        <f t="shared" ca="1" si="17"/>
        <v>41.484666412997193</v>
      </c>
      <c r="AK94" s="627">
        <f t="shared" ca="1" si="20"/>
        <v>50.157119527762553</v>
      </c>
      <c r="AL94" s="482"/>
    </row>
    <row r="95" spans="27:38" x14ac:dyDescent="0.2">
      <c r="AA95" s="483">
        <f t="shared" ca="1" si="18"/>
        <v>8</v>
      </c>
      <c r="AB95" s="484">
        <f t="shared" ca="1" si="11"/>
        <v>2.5487599750311212</v>
      </c>
      <c r="AC95" s="484">
        <f t="shared" ca="1" si="12"/>
        <v>1.7788959999999998</v>
      </c>
      <c r="AD95" s="484">
        <f t="shared" ca="1" si="19"/>
        <v>674</v>
      </c>
      <c r="AE95" s="485">
        <f t="shared" ca="1" si="13"/>
        <v>87.960799999999992</v>
      </c>
      <c r="AF95" s="482"/>
      <c r="AG95" s="483">
        <f t="shared" ca="1" si="14"/>
        <v>27.864601066747944</v>
      </c>
      <c r="AH95" s="484">
        <f t="shared" ca="1" si="15"/>
        <v>63.797085016411728</v>
      </c>
      <c r="AI95" s="484">
        <f t="shared" ca="1" si="16"/>
        <v>51.697266428738793</v>
      </c>
      <c r="AJ95" s="485">
        <f t="shared" ca="1" si="17"/>
        <v>45.656413417887755</v>
      </c>
      <c r="AK95" s="627">
        <f t="shared" ca="1" si="20"/>
        <v>47.25384148244656</v>
      </c>
      <c r="AL95" s="482"/>
    </row>
    <row r="96" spans="27:38" x14ac:dyDescent="0.2">
      <c r="AA96" s="483">
        <f t="shared" ca="1" si="18"/>
        <v>9</v>
      </c>
      <c r="AB96" s="484">
        <f t="shared" ca="1" si="11"/>
        <v>3.6293567322283229</v>
      </c>
      <c r="AC96" s="484">
        <f t="shared" ca="1" si="12"/>
        <v>2.003018</v>
      </c>
      <c r="AD96" s="484">
        <f t="shared" ca="1" si="19"/>
        <v>790</v>
      </c>
      <c r="AE96" s="485">
        <f t="shared" ca="1" si="13"/>
        <v>78.533399999999986</v>
      </c>
      <c r="AF96" s="482"/>
      <c r="AG96" s="483">
        <f t="shared" ca="1" si="14"/>
        <v>28.783833008229198</v>
      </c>
      <c r="AH96" s="484">
        <f t="shared" ca="1" si="15"/>
        <v>59.181049259227976</v>
      </c>
      <c r="AI96" s="484">
        <f t="shared" ca="1" si="16"/>
        <v>48.990836037699175</v>
      </c>
      <c r="AJ96" s="485">
        <f t="shared" ca="1" si="17"/>
        <v>47.525777928008566</v>
      </c>
      <c r="AK96" s="627">
        <f t="shared" ca="1" si="20"/>
        <v>46.120374058291233</v>
      </c>
      <c r="AL96" s="482"/>
    </row>
    <row r="97" spans="27:38" x14ac:dyDescent="0.2">
      <c r="AA97" s="483">
        <f t="shared" ca="1" si="18"/>
        <v>11</v>
      </c>
      <c r="AB97" s="484">
        <f t="shared" ca="1" si="11"/>
        <v>6.5126594683761416</v>
      </c>
      <c r="AC97" s="484">
        <f t="shared" ca="1" si="12"/>
        <v>2.4512619999999998</v>
      </c>
      <c r="AD97" s="484">
        <f t="shared" ca="1" si="19"/>
        <v>183</v>
      </c>
      <c r="AE97" s="485">
        <f t="shared" ca="1" si="13"/>
        <v>59.678599999999989</v>
      </c>
      <c r="AF97" s="482"/>
      <c r="AG97" s="483">
        <f t="shared" ca="1" si="14"/>
        <v>23.97371414202987</v>
      </c>
      <c r="AH97" s="484">
        <f t="shared" ca="1" si="15"/>
        <v>48.308354215261389</v>
      </c>
      <c r="AI97" s="484">
        <f t="shared" ca="1" si="16"/>
        <v>34.571702777716851</v>
      </c>
      <c r="AJ97" s="485">
        <f t="shared" ca="1" si="17"/>
        <v>26.500940406967405</v>
      </c>
      <c r="AK97" s="627">
        <f t="shared" ca="1" si="20"/>
        <v>33.33867788549388</v>
      </c>
      <c r="AL97" s="482"/>
    </row>
    <row r="98" spans="27:38" x14ac:dyDescent="0.2">
      <c r="AA98" s="483">
        <f t="shared" ca="1" si="18"/>
        <v>9</v>
      </c>
      <c r="AB98" s="484">
        <f t="shared" ca="1" si="11"/>
        <v>3.6293567322283229</v>
      </c>
      <c r="AC98" s="484">
        <f t="shared" ca="1" si="12"/>
        <v>2.003018</v>
      </c>
      <c r="AD98" s="484">
        <f t="shared" ca="1" si="19"/>
        <v>575</v>
      </c>
      <c r="AE98" s="485">
        <f t="shared" ca="1" si="13"/>
        <v>78.533399999999986</v>
      </c>
      <c r="AF98" s="482"/>
      <c r="AG98" s="483">
        <f t="shared" ca="1" si="14"/>
        <v>27.080084151173423</v>
      </c>
      <c r="AH98" s="484">
        <f t="shared" ca="1" si="15"/>
        <v>57.986952023816293</v>
      </c>
      <c r="AI98" s="484">
        <f t="shared" ca="1" si="16"/>
        <v>46.682911624410536</v>
      </c>
      <c r="AJ98" s="485">
        <f t="shared" ca="1" si="17"/>
        <v>41.423604928008565</v>
      </c>
      <c r="AK98" s="627">
        <f t="shared" ca="1" si="20"/>
        <v>43.293388181852201</v>
      </c>
      <c r="AL98" s="482"/>
    </row>
    <row r="99" spans="27:38" x14ac:dyDescent="0.2">
      <c r="AA99" s="483">
        <f t="shared" ca="1" si="18"/>
        <v>16</v>
      </c>
      <c r="AB99" s="484">
        <f t="shared" ca="1" si="11"/>
        <v>18.379198818405975</v>
      </c>
      <c r="AC99" s="484">
        <f t="shared" ca="1" si="12"/>
        <v>3.5718719999999999</v>
      </c>
      <c r="AD99" s="484">
        <f t="shared" ca="1" si="19"/>
        <v>127</v>
      </c>
      <c r="AE99" s="485">
        <f t="shared" ca="1" si="13"/>
        <v>12.541599999999988</v>
      </c>
      <c r="AF99" s="482"/>
      <c r="AG99" s="483">
        <f t="shared" ca="1" si="14"/>
        <v>23.529946997866503</v>
      </c>
      <c r="AH99" s="484">
        <f t="shared" ca="1" si="15"/>
        <v>35.916083547387665</v>
      </c>
      <c r="AI99" s="484">
        <f t="shared" ca="1" si="16"/>
        <v>14.212388372046322</v>
      </c>
      <c r="AJ99" s="485">
        <f t="shared" ca="1" si="17"/>
        <v>9.2852292683910438</v>
      </c>
      <c r="AK99" s="627">
        <f t="shared" ca="1" si="20"/>
        <v>20.735912046422886</v>
      </c>
      <c r="AL99" s="482"/>
    </row>
    <row r="100" spans="27:38" x14ac:dyDescent="0.2">
      <c r="AA100" s="483">
        <f t="shared" ca="1" si="18"/>
        <v>11</v>
      </c>
      <c r="AB100" s="484">
        <f t="shared" ca="1" si="11"/>
        <v>6.5126594683761416</v>
      </c>
      <c r="AC100" s="484">
        <f t="shared" ca="1" si="12"/>
        <v>2.4512619999999998</v>
      </c>
      <c r="AD100" s="484">
        <f t="shared" ca="1" si="19"/>
        <v>921</v>
      </c>
      <c r="AE100" s="485">
        <f t="shared" ca="1" si="13"/>
        <v>59.678599999999989</v>
      </c>
      <c r="AF100" s="482"/>
      <c r="AG100" s="483">
        <f t="shared" ca="1" si="14"/>
        <v>29.821931149039926</v>
      </c>
      <c r="AH100" s="484">
        <f t="shared" ca="1" si="15"/>
        <v>51.266362591074973</v>
      </c>
      <c r="AI100" s="484">
        <f t="shared" ca="1" si="16"/>
        <v>42.493787507982013</v>
      </c>
      <c r="AJ100" s="485">
        <f t="shared" ca="1" si="17"/>
        <v>47.447004006967397</v>
      </c>
      <c r="AK100" s="627">
        <f t="shared" ca="1" si="20"/>
        <v>42.757271313766076</v>
      </c>
      <c r="AL100" s="482"/>
    </row>
    <row r="101" spans="27:38" x14ac:dyDescent="0.2">
      <c r="AA101" s="483">
        <f t="shared" ca="1" si="18"/>
        <v>12</v>
      </c>
      <c r="AB101" s="484">
        <f t="shared" ca="1" si="11"/>
        <v>8.3371886632508829</v>
      </c>
      <c r="AC101" s="484">
        <f t="shared" ca="1" si="12"/>
        <v>2.6753840000000002</v>
      </c>
      <c r="AD101" s="484">
        <f t="shared" ca="1" si="19"/>
        <v>578</v>
      </c>
      <c r="AE101" s="485">
        <f t="shared" ca="1" si="13"/>
        <v>50.251199999999983</v>
      </c>
      <c r="AF101" s="482"/>
      <c r="AG101" s="483">
        <f t="shared" ca="1" si="14"/>
        <v>27.103857391039316</v>
      </c>
      <c r="AH101" s="484">
        <f t="shared" ca="1" si="15"/>
        <v>46.573536517369668</v>
      </c>
      <c r="AI101" s="484">
        <f t="shared" ca="1" si="16"/>
        <v>34.860206857875035</v>
      </c>
      <c r="AJ101" s="485">
        <f t="shared" ca="1" si="17"/>
        <v>35.309300339483563</v>
      </c>
      <c r="AK101" s="627">
        <f t="shared" ca="1" si="20"/>
        <v>35.961725276441896</v>
      </c>
      <c r="AL101" s="482"/>
    </row>
    <row r="102" spans="27:38" x14ac:dyDescent="0.2">
      <c r="AA102" s="483">
        <f t="shared" ca="1" si="18"/>
        <v>9</v>
      </c>
      <c r="AB102" s="484">
        <f t="shared" ca="1" si="11"/>
        <v>3.6293567322283229</v>
      </c>
      <c r="AC102" s="484">
        <f t="shared" ca="1" si="12"/>
        <v>2.003018</v>
      </c>
      <c r="AD102" s="484">
        <f t="shared" ca="1" si="19"/>
        <v>122</v>
      </c>
      <c r="AE102" s="485">
        <f t="shared" ca="1" si="13"/>
        <v>78.533399999999986</v>
      </c>
      <c r="AF102" s="482"/>
      <c r="AG102" s="483">
        <f t="shared" ca="1" si="14"/>
        <v>23.490324931423348</v>
      </c>
      <c r="AH102" s="484">
        <f t="shared" ca="1" si="15"/>
        <v>55.622307953295746</v>
      </c>
      <c r="AI102" s="484">
        <f t="shared" ca="1" si="16"/>
        <v>41.820168558272165</v>
      </c>
      <c r="AJ102" s="485">
        <f t="shared" ca="1" si="17"/>
        <v>28.566468328008565</v>
      </c>
      <c r="AK102" s="627">
        <f t="shared" ca="1" si="20"/>
        <v>37.374817442749958</v>
      </c>
      <c r="AL102" s="482"/>
    </row>
    <row r="103" spans="27:38" x14ac:dyDescent="0.2">
      <c r="AA103" s="483">
        <f t="shared" ca="1" si="18"/>
        <v>14</v>
      </c>
      <c r="AB103" s="484">
        <f t="shared" ca="1" si="11"/>
        <v>12.795667543366134</v>
      </c>
      <c r="AC103" s="484">
        <f t="shared" ca="1" si="12"/>
        <v>3.1236280000000001</v>
      </c>
      <c r="AD103" s="484">
        <f t="shared" ca="1" si="19"/>
        <v>292</v>
      </c>
      <c r="AE103" s="485">
        <f t="shared" ca="1" si="13"/>
        <v>31.3964</v>
      </c>
      <c r="AF103" s="482"/>
      <c r="AG103" s="483">
        <f t="shared" ca="1" si="14"/>
        <v>24.837475190490704</v>
      </c>
      <c r="AH103" s="484">
        <f t="shared" ca="1" si="15"/>
        <v>40.395938619115633</v>
      </c>
      <c r="AI103" s="484">
        <f t="shared" ca="1" si="16"/>
        <v>23.88685841959342</v>
      </c>
      <c r="AJ103" s="485">
        <f t="shared" ca="1" si="17"/>
        <v>21.320897481656111</v>
      </c>
      <c r="AK103" s="627">
        <f t="shared" ca="1" si="20"/>
        <v>27.610292427713965</v>
      </c>
      <c r="AL103" s="482"/>
    </row>
    <row r="104" spans="27:38" x14ac:dyDescent="0.2">
      <c r="AA104" s="483">
        <f t="shared" ca="1" si="18"/>
        <v>8</v>
      </c>
      <c r="AB104" s="484">
        <f t="shared" ca="1" si="11"/>
        <v>2.5487599750311212</v>
      </c>
      <c r="AC104" s="484">
        <f t="shared" ca="1" si="12"/>
        <v>1.7788959999999998</v>
      </c>
      <c r="AD104" s="484">
        <f t="shared" ca="1" si="19"/>
        <v>156</v>
      </c>
      <c r="AE104" s="485">
        <f t="shared" ca="1" si="13"/>
        <v>87.960799999999992</v>
      </c>
      <c r="AF104" s="482"/>
      <c r="AG104" s="483">
        <f t="shared" ca="1" si="14"/>
        <v>23.759754983236817</v>
      </c>
      <c r="AH104" s="484">
        <f t="shared" ca="1" si="15"/>
        <v>60.558226096654209</v>
      </c>
      <c r="AI104" s="484">
        <f t="shared" ca="1" si="16"/>
        <v>46.136778772536417</v>
      </c>
      <c r="AJ104" s="485">
        <f t="shared" ca="1" si="17"/>
        <v>30.954433817887754</v>
      </c>
      <c r="AK104" s="627">
        <f t="shared" ca="1" si="20"/>
        <v>40.352298417578801</v>
      </c>
      <c r="AL104" s="482"/>
    </row>
    <row r="105" spans="27:38" x14ac:dyDescent="0.2">
      <c r="AA105" s="483">
        <f t="shared" ca="1" si="18"/>
        <v>12</v>
      </c>
      <c r="AB105" s="484">
        <f t="shared" ca="1" si="11"/>
        <v>8.3371886632508829</v>
      </c>
      <c r="AC105" s="484">
        <f t="shared" ca="1" si="12"/>
        <v>2.6753840000000002</v>
      </c>
      <c r="AD105" s="484">
        <f t="shared" ca="1" si="19"/>
        <v>992</v>
      </c>
      <c r="AE105" s="485">
        <f t="shared" ca="1" si="13"/>
        <v>50.251199999999983</v>
      </c>
      <c r="AF105" s="482"/>
      <c r="AG105" s="483">
        <f t="shared" ca="1" si="14"/>
        <v>30.384564492532764</v>
      </c>
      <c r="AH105" s="484">
        <f t="shared" ca="1" si="15"/>
        <v>48.073688619462182</v>
      </c>
      <c r="AI105" s="484">
        <f t="shared" ca="1" si="16"/>
        <v>39.304303169975</v>
      </c>
      <c r="AJ105" s="485">
        <f t="shared" ca="1" si="17"/>
        <v>47.05953113948356</v>
      </c>
      <c r="AK105" s="627">
        <f t="shared" ca="1" si="20"/>
        <v>41.205521855363379</v>
      </c>
      <c r="AL105" s="482"/>
    </row>
    <row r="106" spans="27:38" x14ac:dyDescent="0.2">
      <c r="AA106" s="483">
        <f t="shared" ca="1" si="18"/>
        <v>6</v>
      </c>
      <c r="AB106" s="484">
        <f t="shared" ca="1" si="11"/>
        <v>1.0396976224741601</v>
      </c>
      <c r="AC106" s="484">
        <f t="shared" ca="1" si="12"/>
        <v>1.3306519999999999</v>
      </c>
      <c r="AD106" s="484">
        <f t="shared" ca="1" si="19"/>
        <v>641</v>
      </c>
      <c r="AE106" s="485">
        <f t="shared" ca="1" si="13"/>
        <v>106.81559999999999</v>
      </c>
      <c r="AF106" s="482"/>
      <c r="AG106" s="483">
        <f t="shared" ca="1" si="14"/>
        <v>27.603095428223103</v>
      </c>
      <c r="AH106" s="484">
        <f t="shared" ca="1" si="15"/>
        <v>77.474776136380171</v>
      </c>
      <c r="AI106" s="484">
        <f t="shared" ca="1" si="16"/>
        <v>59.246299109629383</v>
      </c>
      <c r="AJ106" s="485">
        <f t="shared" ca="1" si="17"/>
        <v>46.706991212997202</v>
      </c>
      <c r="AK106" s="627">
        <f t="shared" ca="1" si="20"/>
        <v>52.757790471807461</v>
      </c>
      <c r="AL106" s="482"/>
    </row>
    <row r="107" spans="27:38" x14ac:dyDescent="0.2">
      <c r="AA107" s="483">
        <f t="shared" ca="1" si="18"/>
        <v>14</v>
      </c>
      <c r="AB107" s="484">
        <f t="shared" ca="1" si="11"/>
        <v>12.795667543366134</v>
      </c>
      <c r="AC107" s="484">
        <f t="shared" ca="1" si="12"/>
        <v>3.1236280000000001</v>
      </c>
      <c r="AD107" s="484">
        <f t="shared" ca="1" si="19"/>
        <v>951</v>
      </c>
      <c r="AE107" s="485">
        <f t="shared" ca="1" si="13"/>
        <v>31.3964</v>
      </c>
      <c r="AF107" s="482"/>
      <c r="AG107" s="483">
        <f t="shared" ca="1" si="14"/>
        <v>30.059663547698872</v>
      </c>
      <c r="AH107" s="484">
        <f t="shared" ca="1" si="15"/>
        <v>42.214697340359436</v>
      </c>
      <c r="AI107" s="484">
        <f t="shared" ca="1" si="16"/>
        <v>30.960915109626939</v>
      </c>
      <c r="AJ107" s="485">
        <f t="shared" ca="1" si="17"/>
        <v>40.024767281656118</v>
      </c>
      <c r="AK107" s="627">
        <f t="shared" ca="1" si="20"/>
        <v>35.815010819835344</v>
      </c>
      <c r="AL107" s="482"/>
    </row>
    <row r="108" spans="27:38" x14ac:dyDescent="0.2">
      <c r="AA108" s="483">
        <f t="shared" ca="1" si="18"/>
        <v>16</v>
      </c>
      <c r="AB108" s="484">
        <f t="shared" ca="1" si="11"/>
        <v>18.379198818405975</v>
      </c>
      <c r="AC108" s="484">
        <f t="shared" ca="1" si="12"/>
        <v>3.5718719999999999</v>
      </c>
      <c r="AD108" s="484">
        <f t="shared" ca="1" si="19"/>
        <v>882</v>
      </c>
      <c r="AE108" s="485">
        <f t="shared" ca="1" si="13"/>
        <v>12.541599999999988</v>
      </c>
      <c r="AF108" s="482"/>
      <c r="AG108" s="483">
        <f t="shared" ca="1" si="14"/>
        <v>29.512879030783296</v>
      </c>
      <c r="AH108" s="484">
        <f t="shared" ca="1" si="15"/>
        <v>37.564638503391912</v>
      </c>
      <c r="AI108" s="484">
        <f t="shared" ca="1" si="16"/>
        <v>22.316960148943608</v>
      </c>
      <c r="AJ108" s="485">
        <f t="shared" ca="1" si="17"/>
        <v>30.713790268391048</v>
      </c>
      <c r="AK108" s="627">
        <f t="shared" ca="1" si="20"/>
        <v>30.027066987877465</v>
      </c>
      <c r="AL108" s="482"/>
    </row>
    <row r="109" spans="27:38" x14ac:dyDescent="0.2">
      <c r="AA109" s="483">
        <f t="shared" ca="1" si="18"/>
        <v>8</v>
      </c>
      <c r="AB109" s="484">
        <f t="shared" ca="1" si="11"/>
        <v>2.5487599750311212</v>
      </c>
      <c r="AC109" s="484">
        <f t="shared" ca="1" si="12"/>
        <v>1.7788959999999998</v>
      </c>
      <c r="AD109" s="484">
        <f t="shared" ca="1" si="19"/>
        <v>569</v>
      </c>
      <c r="AE109" s="485">
        <f t="shared" ca="1" si="13"/>
        <v>87.960799999999992</v>
      </c>
      <c r="AF109" s="482"/>
      <c r="AG109" s="483">
        <f t="shared" ca="1" si="14"/>
        <v>27.032537671441634</v>
      </c>
      <c r="AH109" s="484">
        <f t="shared" ca="1" si="15"/>
        <v>63.112864149477346</v>
      </c>
      <c r="AI109" s="484">
        <f t="shared" ca="1" si="16"/>
        <v>50.570140552481554</v>
      </c>
      <c r="AJ109" s="485">
        <f t="shared" ca="1" si="17"/>
        <v>42.676282417887748</v>
      </c>
      <c r="AK109" s="627">
        <f t="shared" ca="1" si="20"/>
        <v>45.847956197822072</v>
      </c>
      <c r="AL109" s="482"/>
    </row>
    <row r="110" spans="27:38" x14ac:dyDescent="0.2">
      <c r="AA110" s="483">
        <f t="shared" ca="1" si="18"/>
        <v>16</v>
      </c>
      <c r="AB110" s="484">
        <f t="shared" ca="1" si="11"/>
        <v>18.379198818405975</v>
      </c>
      <c r="AC110" s="484">
        <f t="shared" ca="1" si="12"/>
        <v>3.5718719999999999</v>
      </c>
      <c r="AD110" s="484">
        <f t="shared" ca="1" si="19"/>
        <v>871</v>
      </c>
      <c r="AE110" s="485">
        <f t="shared" ca="1" si="13"/>
        <v>12.541599999999988</v>
      </c>
      <c r="AF110" s="482"/>
      <c r="AG110" s="483">
        <f t="shared" ca="1" si="14"/>
        <v>29.425710484608352</v>
      </c>
      <c r="AH110" s="484">
        <f t="shared" ca="1" si="15"/>
        <v>37.539534148337175</v>
      </c>
      <c r="AI110" s="484">
        <f t="shared" ca="1" si="16"/>
        <v>22.198880295240471</v>
      </c>
      <c r="AJ110" s="485">
        <f t="shared" ca="1" si="17"/>
        <v>30.401586068391047</v>
      </c>
      <c r="AK110" s="627">
        <f t="shared" ca="1" si="20"/>
        <v>29.891427749144263</v>
      </c>
      <c r="AL110" s="482"/>
    </row>
    <row r="111" spans="27:38" x14ac:dyDescent="0.2">
      <c r="AA111" s="483">
        <f t="shared" ca="1" si="18"/>
        <v>14</v>
      </c>
      <c r="AB111" s="484">
        <f t="shared" ca="1" si="11"/>
        <v>12.795667543366134</v>
      </c>
      <c r="AC111" s="484">
        <f t="shared" ca="1" si="12"/>
        <v>3.1236280000000001</v>
      </c>
      <c r="AD111" s="484">
        <f t="shared" ca="1" si="19"/>
        <v>840</v>
      </c>
      <c r="AE111" s="485">
        <f t="shared" ca="1" si="13"/>
        <v>31.3964</v>
      </c>
      <c r="AF111" s="482"/>
      <c r="AG111" s="483">
        <f t="shared" ca="1" si="14"/>
        <v>29.180053672660776</v>
      </c>
      <c r="AH111" s="484">
        <f t="shared" ca="1" si="15"/>
        <v>41.896967837807864</v>
      </c>
      <c r="AI111" s="484">
        <f t="shared" ca="1" si="16"/>
        <v>29.769382040440718</v>
      </c>
      <c r="AJ111" s="485">
        <f t="shared" ca="1" si="17"/>
        <v>36.874343081656114</v>
      </c>
      <c r="AK111" s="627">
        <f t="shared" ca="1" si="20"/>
        <v>34.430186658141366</v>
      </c>
      <c r="AL111" s="482"/>
    </row>
    <row r="112" spans="27:38" x14ac:dyDescent="0.2">
      <c r="AA112" s="483">
        <f t="shared" ca="1" si="18"/>
        <v>7</v>
      </c>
      <c r="AB112" s="484">
        <f t="shared" ca="1" si="11"/>
        <v>1.6910619505690725</v>
      </c>
      <c r="AC112" s="484">
        <f t="shared" ca="1" si="12"/>
        <v>1.5547739999999999</v>
      </c>
      <c r="AD112" s="484">
        <f t="shared" ca="1" si="19"/>
        <v>643</v>
      </c>
      <c r="AE112" s="485">
        <f t="shared" ca="1" si="13"/>
        <v>97.388199999999998</v>
      </c>
      <c r="AF112" s="482"/>
      <c r="AG112" s="483">
        <f t="shared" ca="1" si="14"/>
        <v>27.618944254800365</v>
      </c>
      <c r="AH112" s="484">
        <f t="shared" ca="1" si="15"/>
        <v>69.859092123343615</v>
      </c>
      <c r="AI112" s="484">
        <f t="shared" ca="1" si="16"/>
        <v>55.316132052939039</v>
      </c>
      <c r="AJ112" s="485">
        <f t="shared" ca="1" si="17"/>
        <v>45.906014424030474</v>
      </c>
      <c r="AK112" s="627">
        <f t="shared" ca="1" si="20"/>
        <v>49.675045713778374</v>
      </c>
      <c r="AL112" s="482"/>
    </row>
    <row r="113" spans="27:38" x14ac:dyDescent="0.2">
      <c r="AA113" s="483">
        <f t="shared" ca="1" si="18"/>
        <v>14</v>
      </c>
      <c r="AB113" s="484">
        <f t="shared" ca="1" si="11"/>
        <v>12.795667543366134</v>
      </c>
      <c r="AC113" s="484">
        <f t="shared" ca="1" si="12"/>
        <v>3.1236280000000001</v>
      </c>
      <c r="AD113" s="484">
        <f t="shared" ca="1" si="19"/>
        <v>389</v>
      </c>
      <c r="AE113" s="485">
        <f t="shared" ca="1" si="13"/>
        <v>31.3964</v>
      </c>
      <c r="AF113" s="482"/>
      <c r="AG113" s="483">
        <f t="shared" ca="1" si="14"/>
        <v>25.606143279487959</v>
      </c>
      <c r="AH113" s="484">
        <f t="shared" ca="1" si="15"/>
        <v>40.653747763086187</v>
      </c>
      <c r="AI113" s="484">
        <f t="shared" ca="1" si="16"/>
        <v>24.92810803861201</v>
      </c>
      <c r="AJ113" s="485">
        <f t="shared" ca="1" si="17"/>
        <v>24.073970881656113</v>
      </c>
      <c r="AK113" s="627">
        <f t="shared" ca="1" si="20"/>
        <v>28.815492490710565</v>
      </c>
      <c r="AL113" s="482"/>
    </row>
    <row r="114" spans="27:38" x14ac:dyDescent="0.2">
      <c r="AA114" s="483">
        <f t="shared" ca="1" si="18"/>
        <v>11</v>
      </c>
      <c r="AB114" s="484">
        <f t="shared" ca="1" si="11"/>
        <v>6.5126594683761416</v>
      </c>
      <c r="AC114" s="484">
        <f t="shared" ca="1" si="12"/>
        <v>2.4512619999999998</v>
      </c>
      <c r="AD114" s="484">
        <f t="shared" ca="1" si="19"/>
        <v>713</v>
      </c>
      <c r="AE114" s="485">
        <f t="shared" ca="1" si="13"/>
        <v>59.678599999999989</v>
      </c>
      <c r="AF114" s="482"/>
      <c r="AG114" s="483">
        <f t="shared" ca="1" si="14"/>
        <v>28.173653185004571</v>
      </c>
      <c r="AH114" s="484">
        <f t="shared" ca="1" si="15"/>
        <v>50.396630231641176</v>
      </c>
      <c r="AI114" s="484">
        <f t="shared" ca="1" si="16"/>
        <v>40.261004819777192</v>
      </c>
      <c r="AJ114" s="485">
        <f t="shared" ca="1" si="17"/>
        <v>41.54350640696741</v>
      </c>
      <c r="AK114" s="627">
        <f t="shared" ca="1" si="20"/>
        <v>40.093698660847593</v>
      </c>
      <c r="AL114" s="482"/>
    </row>
    <row r="115" spans="27:38" x14ac:dyDescent="0.2">
      <c r="AA115" s="483">
        <f t="shared" ca="1" si="18"/>
        <v>14</v>
      </c>
      <c r="AB115" s="484">
        <f t="shared" ca="1" si="11"/>
        <v>12.795667543366134</v>
      </c>
      <c r="AC115" s="484">
        <f t="shared" ca="1" si="12"/>
        <v>3.1236280000000001</v>
      </c>
      <c r="AD115" s="484">
        <f t="shared" ca="1" si="19"/>
        <v>155</v>
      </c>
      <c r="AE115" s="485">
        <f t="shared" ca="1" si="13"/>
        <v>31.3964</v>
      </c>
      <c r="AF115" s="482"/>
      <c r="AG115" s="483">
        <f t="shared" ca="1" si="14"/>
        <v>23.751830569948186</v>
      </c>
      <c r="AH115" s="484">
        <f t="shared" ca="1" si="15"/>
        <v>40.037337410050966</v>
      </c>
      <c r="AI115" s="484">
        <f t="shared" ca="1" si="16"/>
        <v>22.416227514381589</v>
      </c>
      <c r="AJ115" s="485">
        <f t="shared" ca="1" si="17"/>
        <v>17.432536081656114</v>
      </c>
      <c r="AK115" s="627">
        <f t="shared" ca="1" si="20"/>
        <v>25.909482894009212</v>
      </c>
      <c r="AL115" s="482"/>
    </row>
    <row r="116" spans="27:38" x14ac:dyDescent="0.2">
      <c r="AA116" s="483">
        <f t="shared" ca="1" si="18"/>
        <v>14</v>
      </c>
      <c r="AB116" s="484">
        <f t="shared" ca="1" si="11"/>
        <v>12.795667543366134</v>
      </c>
      <c r="AC116" s="484">
        <f t="shared" ca="1" si="12"/>
        <v>3.1236280000000001</v>
      </c>
      <c r="AD116" s="484">
        <f t="shared" ca="1" si="19"/>
        <v>497</v>
      </c>
      <c r="AE116" s="485">
        <f t="shared" ca="1" si="13"/>
        <v>31.3964</v>
      </c>
      <c r="AF116" s="482"/>
      <c r="AG116" s="483">
        <f t="shared" ca="1" si="14"/>
        <v>26.461979914660166</v>
      </c>
      <c r="AH116" s="484">
        <f t="shared" ca="1" si="15"/>
        <v>40.944692326542828</v>
      </c>
      <c r="AI116" s="484">
        <f t="shared" ca="1" si="16"/>
        <v>26.087437511333736</v>
      </c>
      <c r="AJ116" s="485">
        <f t="shared" ca="1" si="17"/>
        <v>27.139248481656114</v>
      </c>
      <c r="AK116" s="627">
        <f t="shared" ca="1" si="20"/>
        <v>30.15833955854821</v>
      </c>
      <c r="AL116" s="482"/>
    </row>
    <row r="117" spans="27:38" x14ac:dyDescent="0.2">
      <c r="AA117" s="483">
        <f t="shared" ca="1" si="18"/>
        <v>12</v>
      </c>
      <c r="AB117" s="484">
        <f t="shared" ca="1" si="11"/>
        <v>8.3371886632508829</v>
      </c>
      <c r="AC117" s="484">
        <f t="shared" ca="1" si="12"/>
        <v>2.6753840000000002</v>
      </c>
      <c r="AD117" s="484">
        <f t="shared" ca="1" si="19"/>
        <v>666</v>
      </c>
      <c r="AE117" s="485">
        <f t="shared" ca="1" si="13"/>
        <v>50.251199999999983</v>
      </c>
      <c r="AF117" s="482"/>
      <c r="AG117" s="483">
        <f t="shared" ca="1" si="14"/>
        <v>27.80120576043889</v>
      </c>
      <c r="AH117" s="484">
        <f t="shared" ca="1" si="15"/>
        <v>46.884521680338068</v>
      </c>
      <c r="AI117" s="484">
        <f t="shared" ca="1" si="16"/>
        <v>35.804845687500148</v>
      </c>
      <c r="AJ117" s="485">
        <f t="shared" ca="1" si="17"/>
        <v>37.806933939483564</v>
      </c>
      <c r="AK117" s="627">
        <f t="shared" ca="1" si="20"/>
        <v>37.074376766940169</v>
      </c>
      <c r="AL117" s="482"/>
    </row>
    <row r="118" spans="27:38" x14ac:dyDescent="0.2">
      <c r="AA118" s="483">
        <f t="shared" ca="1" si="18"/>
        <v>16</v>
      </c>
      <c r="AB118" s="484">
        <f t="shared" ca="1" si="11"/>
        <v>18.379198818405975</v>
      </c>
      <c r="AC118" s="484">
        <f t="shared" ca="1" si="12"/>
        <v>3.5718719999999999</v>
      </c>
      <c r="AD118" s="484">
        <f t="shared" ca="1" si="19"/>
        <v>449</v>
      </c>
      <c r="AE118" s="485">
        <f t="shared" ca="1" si="13"/>
        <v>12.541599999999988</v>
      </c>
      <c r="AF118" s="482"/>
      <c r="AG118" s="483">
        <f t="shared" ca="1" si="14"/>
        <v>26.081608076805853</v>
      </c>
      <c r="AH118" s="484">
        <f t="shared" ca="1" si="15"/>
        <v>36.601142228905132</v>
      </c>
      <c r="AI118" s="484">
        <f t="shared" ca="1" si="16"/>
        <v>17.668907725901853</v>
      </c>
      <c r="AJ118" s="485">
        <f t="shared" ca="1" si="17"/>
        <v>18.424297668391045</v>
      </c>
      <c r="AK118" s="627">
        <f t="shared" ca="1" si="20"/>
        <v>24.693988925000969</v>
      </c>
      <c r="AL118" s="482"/>
    </row>
    <row r="119" spans="27:38" x14ac:dyDescent="0.2">
      <c r="AA119" s="483">
        <f t="shared" ca="1" si="18"/>
        <v>6</v>
      </c>
      <c r="AB119" s="484">
        <f t="shared" ca="1" si="11"/>
        <v>1.0396976224741601</v>
      </c>
      <c r="AC119" s="484">
        <f t="shared" ca="1" si="12"/>
        <v>1.3306519999999999</v>
      </c>
      <c r="AD119" s="484">
        <f t="shared" ca="1" si="19"/>
        <v>203</v>
      </c>
      <c r="AE119" s="485">
        <f t="shared" ca="1" si="13"/>
        <v>106.81559999999999</v>
      </c>
      <c r="AF119" s="482"/>
      <c r="AG119" s="483">
        <f t="shared" ca="1" si="14"/>
        <v>24.132202407802499</v>
      </c>
      <c r="AH119" s="484">
        <f t="shared" ca="1" si="15"/>
        <v>73.441444423930889</v>
      </c>
      <c r="AI119" s="484">
        <f t="shared" ca="1" si="16"/>
        <v>54.544574025813475</v>
      </c>
      <c r="AJ119" s="485">
        <f t="shared" ca="1" si="17"/>
        <v>34.275587612997199</v>
      </c>
      <c r="AK119" s="627">
        <f t="shared" ca="1" si="20"/>
        <v>46.598452117636015</v>
      </c>
      <c r="AL119" s="482"/>
    </row>
    <row r="120" spans="27:38" x14ac:dyDescent="0.2">
      <c r="AA120" s="483">
        <f t="shared" ca="1" si="18"/>
        <v>14</v>
      </c>
      <c r="AB120" s="484">
        <f t="shared" ca="1" si="11"/>
        <v>12.795667543366134</v>
      </c>
      <c r="AC120" s="484">
        <f t="shared" ca="1" si="12"/>
        <v>3.1236280000000001</v>
      </c>
      <c r="AD120" s="484">
        <f t="shared" ca="1" si="19"/>
        <v>318</v>
      </c>
      <c r="AE120" s="485">
        <f t="shared" ca="1" si="13"/>
        <v>31.3964</v>
      </c>
      <c r="AF120" s="482"/>
      <c r="AG120" s="483">
        <f t="shared" ca="1" si="14"/>
        <v>25.043509935995125</v>
      </c>
      <c r="AH120" s="484">
        <f t="shared" ca="1" si="15"/>
        <v>40.464720791836285</v>
      </c>
      <c r="AI120" s="484">
        <f t="shared" ca="1" si="16"/>
        <v>24.165956255619022</v>
      </c>
      <c r="AJ120" s="485">
        <f t="shared" ca="1" si="17"/>
        <v>22.058834681656112</v>
      </c>
      <c r="AK120" s="627">
        <f t="shared" ca="1" si="20"/>
        <v>27.933255416276634</v>
      </c>
      <c r="AL120" s="482"/>
    </row>
    <row r="121" spans="27:38" x14ac:dyDescent="0.2">
      <c r="AA121" s="483">
        <f t="shared" ca="1" si="18"/>
        <v>9</v>
      </c>
      <c r="AB121" s="484">
        <f t="shared" ca="1" si="11"/>
        <v>3.6293567322283229</v>
      </c>
      <c r="AC121" s="484">
        <f t="shared" ca="1" si="12"/>
        <v>2.003018</v>
      </c>
      <c r="AD121" s="484">
        <f t="shared" ca="1" si="19"/>
        <v>990</v>
      </c>
      <c r="AE121" s="485">
        <f t="shared" ca="1" si="13"/>
        <v>78.533399999999986</v>
      </c>
      <c r="AF121" s="482"/>
      <c r="AG121" s="483">
        <f t="shared" ca="1" si="14"/>
        <v>30.368715665955502</v>
      </c>
      <c r="AH121" s="484">
        <f t="shared" ca="1" si="15"/>
        <v>60.336851660341466</v>
      </c>
      <c r="AI121" s="484">
        <f t="shared" ca="1" si="16"/>
        <v>51.137742468665337</v>
      </c>
      <c r="AJ121" s="485">
        <f t="shared" ca="1" si="17"/>
        <v>53.202217928008565</v>
      </c>
      <c r="AK121" s="627">
        <f t="shared" ca="1" si="20"/>
        <v>48.761381930742715</v>
      </c>
      <c r="AL121" s="482"/>
    </row>
    <row r="122" spans="27:38" x14ac:dyDescent="0.2">
      <c r="AA122" s="483">
        <f t="shared" ca="1" si="18"/>
        <v>7</v>
      </c>
      <c r="AB122" s="484">
        <f t="shared" ca="1" si="11"/>
        <v>1.6910619505690725</v>
      </c>
      <c r="AC122" s="484">
        <f t="shared" ca="1" si="12"/>
        <v>1.5547739999999999</v>
      </c>
      <c r="AD122" s="484">
        <f t="shared" ca="1" si="19"/>
        <v>846</v>
      </c>
      <c r="AE122" s="485">
        <f t="shared" ca="1" si="13"/>
        <v>97.388199999999998</v>
      </c>
      <c r="AF122" s="482"/>
      <c r="AG122" s="483">
        <f t="shared" ca="1" si="14"/>
        <v>29.227600152392561</v>
      </c>
      <c r="AH122" s="484">
        <f t="shared" ca="1" si="15"/>
        <v>71.500112566954712</v>
      </c>
      <c r="AI122" s="484">
        <f t="shared" ca="1" si="16"/>
        <v>57.4952420803697</v>
      </c>
      <c r="AJ122" s="485">
        <f t="shared" ca="1" si="17"/>
        <v>51.667601024030482</v>
      </c>
      <c r="AK122" s="627">
        <f t="shared" ca="1" si="20"/>
        <v>52.472638955936866</v>
      </c>
      <c r="AL122" s="482"/>
    </row>
    <row r="123" spans="27:38" x14ac:dyDescent="0.2">
      <c r="AA123" s="483">
        <f t="shared" ca="1" si="18"/>
        <v>7</v>
      </c>
      <c r="AB123" s="484">
        <f t="shared" ca="1" si="11"/>
        <v>1.6910619505690725</v>
      </c>
      <c r="AC123" s="484">
        <f t="shared" ca="1" si="12"/>
        <v>1.5547739999999999</v>
      </c>
      <c r="AD123" s="484">
        <f t="shared" ca="1" si="19"/>
        <v>123</v>
      </c>
      <c r="AE123" s="485">
        <f t="shared" ca="1" si="13"/>
        <v>97.388199999999998</v>
      </c>
      <c r="AF123" s="482"/>
      <c r="AG123" s="483">
        <f t="shared" ca="1" si="14"/>
        <v>23.498249344711979</v>
      </c>
      <c r="AH123" s="484">
        <f t="shared" ca="1" si="15"/>
        <v>65.98002708599752</v>
      </c>
      <c r="AI123" s="484">
        <f t="shared" ca="1" si="16"/>
        <v>49.734175332427</v>
      </c>
      <c r="AJ123" s="485">
        <f t="shared" ca="1" si="17"/>
        <v>31.14727042403047</v>
      </c>
      <c r="AK123" s="627">
        <f t="shared" ca="1" si="20"/>
        <v>42.589930546791742</v>
      </c>
      <c r="AL123" s="482"/>
    </row>
    <row r="124" spans="27:38" x14ac:dyDescent="0.2">
      <c r="AA124" s="483">
        <f t="shared" ca="1" si="18"/>
        <v>13</v>
      </c>
      <c r="AB124" s="484">
        <f t="shared" ca="1" si="11"/>
        <v>10.42900695605948</v>
      </c>
      <c r="AC124" s="484">
        <f t="shared" ca="1" si="12"/>
        <v>2.8995060000000001</v>
      </c>
      <c r="AD124" s="484">
        <f t="shared" ca="1" si="19"/>
        <v>840</v>
      </c>
      <c r="AE124" s="485">
        <f t="shared" ca="1" si="13"/>
        <v>40.823799999999991</v>
      </c>
      <c r="AF124" s="482"/>
      <c r="AG124" s="483">
        <f t="shared" ca="1" si="14"/>
        <v>29.180053672660776</v>
      </c>
      <c r="AH124" s="484">
        <f t="shared" ca="1" si="15"/>
        <v>44.528084690362036</v>
      </c>
      <c r="AI124" s="484">
        <f t="shared" ca="1" si="16"/>
        <v>33.721018161440718</v>
      </c>
      <c r="AJ124" s="485">
        <f t="shared" ca="1" si="17"/>
        <v>39.990851276039919</v>
      </c>
      <c r="AK124" s="627">
        <f t="shared" ca="1" si="20"/>
        <v>36.855001950125867</v>
      </c>
      <c r="AL124" s="482"/>
    </row>
    <row r="125" spans="27:38" x14ac:dyDescent="0.2">
      <c r="AA125" s="483">
        <f t="shared" ca="1" si="18"/>
        <v>10</v>
      </c>
      <c r="AB125" s="484">
        <f t="shared" ca="1" si="11"/>
        <v>4.9467360247874907</v>
      </c>
      <c r="AC125" s="484">
        <f t="shared" ca="1" si="12"/>
        <v>2.2271399999999999</v>
      </c>
      <c r="AD125" s="484">
        <f t="shared" ca="1" si="19"/>
        <v>484</v>
      </c>
      <c r="AE125" s="485">
        <f t="shared" ca="1" si="13"/>
        <v>69.105999999999995</v>
      </c>
      <c r="AF125" s="482"/>
      <c r="AG125" s="483">
        <f t="shared" ca="1" si="14"/>
        <v>26.358962541907957</v>
      </c>
      <c r="AH125" s="484">
        <f t="shared" ca="1" si="15"/>
        <v>53.183361493350411</v>
      </c>
      <c r="AI125" s="484">
        <f t="shared" ca="1" si="16"/>
        <v>41.75443307732094</v>
      </c>
      <c r="AJ125" s="485">
        <f t="shared" ca="1" si="17"/>
        <v>37.106049837856474</v>
      </c>
      <c r="AK125" s="627">
        <f t="shared" ca="1" si="20"/>
        <v>39.600701737608944</v>
      </c>
      <c r="AL125" s="482"/>
    </row>
    <row r="126" spans="27:38" x14ac:dyDescent="0.2">
      <c r="AA126" s="483">
        <f t="shared" ca="1" si="18"/>
        <v>15</v>
      </c>
      <c r="AB126" s="484">
        <f t="shared" ca="1" si="11"/>
        <v>15.443787118411857</v>
      </c>
      <c r="AC126" s="484">
        <f t="shared" ca="1" si="12"/>
        <v>3.34775</v>
      </c>
      <c r="AD126" s="484">
        <f t="shared" ca="1" si="19"/>
        <v>889</v>
      </c>
      <c r="AE126" s="485">
        <f t="shared" ca="1" si="13"/>
        <v>21.968999999999994</v>
      </c>
      <c r="AF126" s="482"/>
      <c r="AG126" s="483">
        <f t="shared" ca="1" si="14"/>
        <v>29.568349923803716</v>
      </c>
      <c r="AH126" s="484">
        <f t="shared" ca="1" si="15"/>
        <v>39.683936968046297</v>
      </c>
      <c r="AI126" s="484">
        <f t="shared" ca="1" si="16"/>
        <v>26.343737995027428</v>
      </c>
      <c r="AJ126" s="485">
        <f t="shared" ca="1" si="17"/>
        <v>34.777926844356621</v>
      </c>
      <c r="AK126" s="627">
        <f t="shared" ca="1" si="20"/>
        <v>32.593487932808515</v>
      </c>
      <c r="AL126" s="482"/>
    </row>
    <row r="127" spans="27:38" x14ac:dyDescent="0.2">
      <c r="AA127" s="483">
        <f t="shared" ca="1" si="18"/>
        <v>7</v>
      </c>
      <c r="AB127" s="484">
        <f t="shared" ca="1" si="11"/>
        <v>1.6910619505690725</v>
      </c>
      <c r="AC127" s="484">
        <f t="shared" ca="1" si="12"/>
        <v>1.5547739999999999</v>
      </c>
      <c r="AD127" s="484">
        <f t="shared" ca="1" si="19"/>
        <v>448</v>
      </c>
      <c r="AE127" s="485">
        <f t="shared" ca="1" si="13"/>
        <v>97.388199999999998</v>
      </c>
      <c r="AF127" s="482"/>
      <c r="AG127" s="483">
        <f t="shared" ca="1" si="14"/>
        <v>26.073683663517222</v>
      </c>
      <c r="AH127" s="484">
        <f t="shared" ca="1" si="15"/>
        <v>68.352145089775192</v>
      </c>
      <c r="AI127" s="484">
        <f t="shared" ca="1" si="16"/>
        <v>53.222898282747025</v>
      </c>
      <c r="AJ127" s="485">
        <f t="shared" ca="1" si="17"/>
        <v>40.371485424030475</v>
      </c>
      <c r="AK127" s="627">
        <f t="shared" ca="1" si="20"/>
        <v>47.005053115017482</v>
      </c>
      <c r="AL127" s="482"/>
    </row>
    <row r="128" spans="27:38" x14ac:dyDescent="0.2">
      <c r="AA128" s="483">
        <f t="shared" ca="1" si="18"/>
        <v>11</v>
      </c>
      <c r="AB128" s="484">
        <f t="shared" ca="1" si="11"/>
        <v>6.5126594683761416</v>
      </c>
      <c r="AC128" s="484">
        <f t="shared" ca="1" si="12"/>
        <v>2.4512619999999998</v>
      </c>
      <c r="AD128" s="484">
        <f t="shared" ca="1" si="19"/>
        <v>827</v>
      </c>
      <c r="AE128" s="485">
        <f t="shared" ca="1" si="13"/>
        <v>59.678599999999989</v>
      </c>
      <c r="AF128" s="482"/>
      <c r="AG128" s="483">
        <f t="shared" ca="1" si="14"/>
        <v>29.077036299908563</v>
      </c>
      <c r="AH128" s="484">
        <f t="shared" ca="1" si="15"/>
        <v>50.869621525363989</v>
      </c>
      <c r="AI128" s="484">
        <f t="shared" ca="1" si="16"/>
        <v>41.484741485427911</v>
      </c>
      <c r="AJ128" s="485">
        <f t="shared" ca="1" si="17"/>
        <v>44.779077206967415</v>
      </c>
      <c r="AK128" s="627">
        <f t="shared" ca="1" si="20"/>
        <v>41.552619129416968</v>
      </c>
      <c r="AL128" s="482"/>
    </row>
    <row r="129" spans="27:38" x14ac:dyDescent="0.2">
      <c r="AA129" s="483">
        <f t="shared" ca="1" si="18"/>
        <v>16</v>
      </c>
      <c r="AB129" s="484">
        <f t="shared" ca="1" si="11"/>
        <v>18.379198818405975</v>
      </c>
      <c r="AC129" s="484">
        <f t="shared" ca="1" si="12"/>
        <v>3.5718719999999999</v>
      </c>
      <c r="AD129" s="484">
        <f t="shared" ca="1" si="19"/>
        <v>347</v>
      </c>
      <c r="AE129" s="485">
        <f t="shared" ca="1" si="13"/>
        <v>12.541599999999988</v>
      </c>
      <c r="AF129" s="482"/>
      <c r="AG129" s="483">
        <f t="shared" ca="1" si="14"/>
        <v>25.27331792136544</v>
      </c>
      <c r="AH129" s="484">
        <f t="shared" ca="1" si="15"/>
        <v>36.381325058095456</v>
      </c>
      <c r="AI129" s="484">
        <f t="shared" ca="1" si="16"/>
        <v>16.573985446109106</v>
      </c>
      <c r="AJ129" s="485">
        <f t="shared" ca="1" si="17"/>
        <v>15.529313268391041</v>
      </c>
      <c r="AK129" s="627">
        <f t="shared" ca="1" si="20"/>
        <v>23.439485423490261</v>
      </c>
      <c r="AL129" s="482"/>
    </row>
    <row r="130" spans="27:38" x14ac:dyDescent="0.2">
      <c r="AA130" s="483">
        <f t="shared" ca="1" si="18"/>
        <v>6</v>
      </c>
      <c r="AB130" s="484">
        <f t="shared" ca="1" si="11"/>
        <v>1.0396976224741601</v>
      </c>
      <c r="AC130" s="484">
        <f t="shared" ca="1" si="12"/>
        <v>1.3306519999999999</v>
      </c>
      <c r="AD130" s="484">
        <f t="shared" ca="1" si="19"/>
        <v>204</v>
      </c>
      <c r="AE130" s="485">
        <f t="shared" ca="1" si="13"/>
        <v>106.81559999999999</v>
      </c>
      <c r="AF130" s="482"/>
      <c r="AG130" s="483">
        <f t="shared" ca="1" si="14"/>
        <v>24.14012682109113</v>
      </c>
      <c r="AH130" s="484">
        <f t="shared" ca="1" si="15"/>
        <v>73.450174586539163</v>
      </c>
      <c r="AI130" s="484">
        <f t="shared" ca="1" si="16"/>
        <v>54.555308557968303</v>
      </c>
      <c r="AJ130" s="485">
        <f t="shared" ca="1" si="17"/>
        <v>34.303969812997195</v>
      </c>
      <c r="AK130" s="627">
        <f t="shared" ca="1" si="20"/>
        <v>46.612394944648948</v>
      </c>
      <c r="AL130" s="482"/>
    </row>
    <row r="131" spans="27:38" x14ac:dyDescent="0.2">
      <c r="AA131" s="483">
        <f t="shared" ca="1" si="18"/>
        <v>7</v>
      </c>
      <c r="AB131" s="484">
        <f t="shared" ca="1" si="11"/>
        <v>1.6910619505690725</v>
      </c>
      <c r="AC131" s="484">
        <f t="shared" ca="1" si="12"/>
        <v>1.5547739999999999</v>
      </c>
      <c r="AD131" s="484">
        <f t="shared" ca="1" si="19"/>
        <v>418</v>
      </c>
      <c r="AE131" s="485">
        <f t="shared" ca="1" si="13"/>
        <v>97.388199999999998</v>
      </c>
      <c r="AF131" s="482"/>
      <c r="AG131" s="483">
        <f t="shared" ca="1" si="14"/>
        <v>25.835951264858274</v>
      </c>
      <c r="AH131" s="484">
        <f t="shared" ca="1" si="15"/>
        <v>68.126058420112443</v>
      </c>
      <c r="AI131" s="484">
        <f t="shared" ca="1" si="16"/>
        <v>52.900862318102099</v>
      </c>
      <c r="AJ131" s="485">
        <f t="shared" ca="1" si="17"/>
        <v>39.520019424030473</v>
      </c>
      <c r="AK131" s="627">
        <f t="shared" ca="1" si="20"/>
        <v>46.595722856775822</v>
      </c>
      <c r="AL131" s="482"/>
    </row>
    <row r="132" spans="27:38" x14ac:dyDescent="0.2">
      <c r="AA132" s="483">
        <f t="shared" ca="1" si="18"/>
        <v>9</v>
      </c>
      <c r="AB132" s="484">
        <f t="shared" ca="1" si="11"/>
        <v>3.6293567322283229</v>
      </c>
      <c r="AC132" s="484">
        <f t="shared" ca="1" si="12"/>
        <v>2.003018</v>
      </c>
      <c r="AD132" s="484">
        <f t="shared" ca="1" si="19"/>
        <v>965</v>
      </c>
      <c r="AE132" s="485">
        <f t="shared" ca="1" si="13"/>
        <v>78.533399999999986</v>
      </c>
      <c r="AF132" s="482"/>
      <c r="AG132" s="483">
        <f t="shared" ca="1" si="14"/>
        <v>30.170605333739715</v>
      </c>
      <c r="AH132" s="484">
        <f t="shared" ca="1" si="15"/>
        <v>60.189913477867265</v>
      </c>
      <c r="AI132" s="484">
        <f t="shared" ca="1" si="16"/>
        <v>50.869379164794573</v>
      </c>
      <c r="AJ132" s="485">
        <f t="shared" ca="1" si="17"/>
        <v>52.492662928008571</v>
      </c>
      <c r="AK132" s="627">
        <f t="shared" ca="1" si="20"/>
        <v>48.430640226102533</v>
      </c>
      <c r="AL132" s="482"/>
    </row>
    <row r="133" spans="27:38" x14ac:dyDescent="0.2">
      <c r="AA133" s="483">
        <f t="shared" ca="1" si="18"/>
        <v>9</v>
      </c>
      <c r="AB133" s="484">
        <f t="shared" ca="1" si="11"/>
        <v>3.6293567322283229</v>
      </c>
      <c r="AC133" s="484">
        <f t="shared" ca="1" si="12"/>
        <v>2.003018</v>
      </c>
      <c r="AD133" s="484">
        <f t="shared" ca="1" si="19"/>
        <v>905</v>
      </c>
      <c r="AE133" s="485">
        <f t="shared" ca="1" si="13"/>
        <v>78.533399999999986</v>
      </c>
      <c r="AF133" s="482"/>
      <c r="AG133" s="483">
        <f t="shared" ca="1" si="14"/>
        <v>29.695140536421821</v>
      </c>
      <c r="AH133" s="484">
        <f t="shared" ca="1" si="15"/>
        <v>59.840164832356074</v>
      </c>
      <c r="AI133" s="484">
        <f t="shared" ca="1" si="16"/>
        <v>50.225307235504715</v>
      </c>
      <c r="AJ133" s="485">
        <f t="shared" ca="1" si="17"/>
        <v>50.789730928008559</v>
      </c>
      <c r="AK133" s="627">
        <f t="shared" ca="1" si="20"/>
        <v>47.637585883072795</v>
      </c>
      <c r="AL133" s="482"/>
    </row>
    <row r="134" spans="27:38" x14ac:dyDescent="0.2">
      <c r="AA134" s="483">
        <f t="shared" ca="1" si="18"/>
        <v>6</v>
      </c>
      <c r="AB134" s="484">
        <f t="shared" ca="1" si="11"/>
        <v>1.0396976224741601</v>
      </c>
      <c r="AC134" s="484">
        <f t="shared" ca="1" si="12"/>
        <v>1.3306519999999999</v>
      </c>
      <c r="AD134" s="484">
        <f t="shared" ca="1" si="19"/>
        <v>701</v>
      </c>
      <c r="AE134" s="485">
        <f t="shared" ca="1" si="13"/>
        <v>106.81559999999999</v>
      </c>
      <c r="AF134" s="482"/>
      <c r="AG134" s="483">
        <f t="shared" ca="1" si="14"/>
        <v>28.078560225540993</v>
      </c>
      <c r="AH134" s="484">
        <f t="shared" ca="1" si="15"/>
        <v>78.062048842002781</v>
      </c>
      <c r="AI134" s="484">
        <f t="shared" ca="1" si="16"/>
        <v>59.890371038919227</v>
      </c>
      <c r="AJ134" s="485">
        <f t="shared" ca="1" si="17"/>
        <v>48.409923212997192</v>
      </c>
      <c r="AK134" s="627">
        <f t="shared" ca="1" si="20"/>
        <v>53.610225829865051</v>
      </c>
      <c r="AL134" s="482"/>
    </row>
    <row r="135" spans="27:38" x14ac:dyDescent="0.2">
      <c r="AA135" s="483">
        <f t="shared" ca="1" si="18"/>
        <v>13</v>
      </c>
      <c r="AB135" s="484">
        <f t="shared" ca="1" si="11"/>
        <v>10.42900695605948</v>
      </c>
      <c r="AC135" s="484">
        <f t="shared" ca="1" si="12"/>
        <v>2.8995060000000001</v>
      </c>
      <c r="AD135" s="484">
        <f t="shared" ca="1" si="19"/>
        <v>525</v>
      </c>
      <c r="AE135" s="485">
        <f t="shared" ca="1" si="13"/>
        <v>40.823799999999991</v>
      </c>
      <c r="AF135" s="482"/>
      <c r="AG135" s="483">
        <f t="shared" ca="1" si="14"/>
        <v>26.683863486741846</v>
      </c>
      <c r="AH135" s="484">
        <f t="shared" ca="1" si="15"/>
        <v>43.539717174807038</v>
      </c>
      <c r="AI135" s="484">
        <f t="shared" ca="1" si="16"/>
        <v>30.339640532669002</v>
      </c>
      <c r="AJ135" s="485">
        <f t="shared" ca="1" si="17"/>
        <v>31.050458276039908</v>
      </c>
      <c r="AK135" s="627">
        <f t="shared" ca="1" si="20"/>
        <v>32.903419867564445</v>
      </c>
      <c r="AL135" s="482"/>
    </row>
    <row r="136" spans="27:38" x14ac:dyDescent="0.2">
      <c r="AA136" s="483">
        <f t="shared" ca="1" si="18"/>
        <v>15</v>
      </c>
      <c r="AB136" s="484">
        <f t="shared" ca="1" si="11"/>
        <v>15.443787118411857</v>
      </c>
      <c r="AC136" s="484">
        <f t="shared" ca="1" si="12"/>
        <v>3.34775</v>
      </c>
      <c r="AD136" s="484">
        <f t="shared" ca="1" si="19"/>
        <v>654</v>
      </c>
      <c r="AE136" s="485">
        <f t="shared" ca="1" si="13"/>
        <v>21.968999999999994</v>
      </c>
      <c r="AF136" s="482"/>
      <c r="AG136" s="483">
        <f t="shared" ca="1" si="14"/>
        <v>27.706112800975312</v>
      </c>
      <c r="AH136" s="484">
        <f t="shared" ca="1" si="15"/>
        <v>39.09389909100441</v>
      </c>
      <c r="AI136" s="484">
        <f t="shared" ca="1" si="16"/>
        <v>23.82112293864218</v>
      </c>
      <c r="AJ136" s="485">
        <f t="shared" ca="1" si="17"/>
        <v>28.108109844356619</v>
      </c>
      <c r="AK136" s="627">
        <f t="shared" ca="1" si="20"/>
        <v>29.682311168744629</v>
      </c>
      <c r="AL136" s="482"/>
    </row>
    <row r="137" spans="27:38" x14ac:dyDescent="0.2">
      <c r="AA137" s="483">
        <f t="shared" ca="1" si="18"/>
        <v>9</v>
      </c>
      <c r="AB137" s="484">
        <f t="shared" ca="1" si="11"/>
        <v>3.6293567322283229</v>
      </c>
      <c r="AC137" s="484">
        <f t="shared" ca="1" si="12"/>
        <v>2.003018</v>
      </c>
      <c r="AD137" s="484">
        <f t="shared" ca="1" si="19"/>
        <v>411</v>
      </c>
      <c r="AE137" s="485">
        <f t="shared" ca="1" si="13"/>
        <v>78.533399999999986</v>
      </c>
      <c r="AF137" s="482"/>
      <c r="AG137" s="483">
        <f t="shared" ca="1" si="14"/>
        <v>25.780480371837854</v>
      </c>
      <c r="AH137" s="484">
        <f t="shared" ca="1" si="15"/>
        <v>57.10801155919539</v>
      </c>
      <c r="AI137" s="484">
        <f t="shared" ca="1" si="16"/>
        <v>44.922448351018282</v>
      </c>
      <c r="AJ137" s="485">
        <f t="shared" ca="1" si="17"/>
        <v>36.768924128008564</v>
      </c>
      <c r="AK137" s="627">
        <f t="shared" ca="1" si="20"/>
        <v>41.144966102515021</v>
      </c>
      <c r="AL137" s="482"/>
    </row>
    <row r="138" spans="27:38" x14ac:dyDescent="0.2">
      <c r="AA138" s="483">
        <f t="shared" ca="1" si="18"/>
        <v>8</v>
      </c>
      <c r="AB138" s="484">
        <f t="shared" ca="1" si="11"/>
        <v>2.5487599750311212</v>
      </c>
      <c r="AC138" s="484">
        <f t="shared" ca="1" si="12"/>
        <v>1.7788959999999998</v>
      </c>
      <c r="AD138" s="484">
        <f t="shared" ca="1" si="19"/>
        <v>839</v>
      </c>
      <c r="AE138" s="485">
        <f t="shared" ca="1" si="13"/>
        <v>87.960799999999992</v>
      </c>
      <c r="AF138" s="482"/>
      <c r="AG138" s="483">
        <f t="shared" ca="1" si="14"/>
        <v>29.172129259372142</v>
      </c>
      <c r="AH138" s="484">
        <f t="shared" ca="1" si="15"/>
        <v>64.902782669688989</v>
      </c>
      <c r="AI138" s="484">
        <f t="shared" ca="1" si="16"/>
        <v>53.468464234285882</v>
      </c>
      <c r="AJ138" s="485">
        <f t="shared" ca="1" si="17"/>
        <v>50.339476417887752</v>
      </c>
      <c r="AK138" s="627">
        <f t="shared" ca="1" si="20"/>
        <v>49.470713145308693</v>
      </c>
      <c r="AL138" s="482"/>
    </row>
    <row r="139" spans="27:38" x14ac:dyDescent="0.2">
      <c r="AA139" s="483">
        <f t="shared" ca="1" si="18"/>
        <v>9</v>
      </c>
      <c r="AB139" s="484">
        <f t="shared" ca="1" si="11"/>
        <v>3.6293567322283229</v>
      </c>
      <c r="AC139" s="484">
        <f t="shared" ca="1" si="12"/>
        <v>2.003018</v>
      </c>
      <c r="AD139" s="484">
        <f t="shared" ca="1" si="19"/>
        <v>239</v>
      </c>
      <c r="AE139" s="485">
        <f t="shared" ca="1" si="13"/>
        <v>78.533399999999986</v>
      </c>
      <c r="AF139" s="482"/>
      <c r="AG139" s="483">
        <f t="shared" ca="1" si="14"/>
        <v>24.417481286193233</v>
      </c>
      <c r="AH139" s="484">
        <f t="shared" ca="1" si="15"/>
        <v>56.214374523777408</v>
      </c>
      <c r="AI139" s="484">
        <f t="shared" ca="1" si="16"/>
        <v>43.076108820387383</v>
      </c>
      <c r="AJ139" s="485">
        <f t="shared" ca="1" si="17"/>
        <v>31.887185728008561</v>
      </c>
      <c r="AK139" s="627">
        <f t="shared" ca="1" si="20"/>
        <v>38.898787589591649</v>
      </c>
      <c r="AL139" s="482"/>
    </row>
    <row r="140" spans="27:38" x14ac:dyDescent="0.2">
      <c r="AA140" s="483">
        <f t="shared" ca="1" si="18"/>
        <v>9</v>
      </c>
      <c r="AB140" s="484">
        <f t="shared" ca="1" si="11"/>
        <v>3.6293567322283229</v>
      </c>
      <c r="AC140" s="484">
        <f t="shared" ca="1" si="12"/>
        <v>2.003018</v>
      </c>
      <c r="AD140" s="484">
        <f t="shared" ca="1" si="19"/>
        <v>104</v>
      </c>
      <c r="AE140" s="485">
        <f t="shared" ca="1" si="13"/>
        <v>78.533399999999986</v>
      </c>
      <c r="AF140" s="482"/>
      <c r="AG140" s="483">
        <f t="shared" ca="1" si="14"/>
        <v>23.347685492227981</v>
      </c>
      <c r="AH140" s="484">
        <f t="shared" ca="1" si="15"/>
        <v>55.532325948477393</v>
      </c>
      <c r="AI140" s="484">
        <f t="shared" ca="1" si="16"/>
        <v>41.626946979485211</v>
      </c>
      <c r="AJ140" s="485">
        <f t="shared" ca="1" si="17"/>
        <v>28.055588728008566</v>
      </c>
      <c r="AK140" s="627">
        <f t="shared" ca="1" si="20"/>
        <v>37.140636787049786</v>
      </c>
      <c r="AL140" s="482"/>
    </row>
    <row r="141" spans="27:38" x14ac:dyDescent="0.2">
      <c r="AA141" s="483">
        <f t="shared" ca="1" si="18"/>
        <v>14</v>
      </c>
      <c r="AB141" s="484">
        <f t="shared" ca="1" si="11"/>
        <v>12.795667543366134</v>
      </c>
      <c r="AC141" s="484">
        <f t="shared" ca="1" si="12"/>
        <v>3.1236280000000001</v>
      </c>
      <c r="AD141" s="484">
        <f t="shared" ca="1" si="19"/>
        <v>724</v>
      </c>
      <c r="AE141" s="485">
        <f t="shared" ca="1" si="13"/>
        <v>31.3964</v>
      </c>
      <c r="AF141" s="482"/>
      <c r="AG141" s="483">
        <f t="shared" ca="1" si="14"/>
        <v>28.260821731179519</v>
      </c>
      <c r="AH141" s="484">
        <f t="shared" ca="1" si="15"/>
        <v>41.569997114759474</v>
      </c>
      <c r="AI141" s="484">
        <f t="shared" ca="1" si="16"/>
        <v>28.524176310480343</v>
      </c>
      <c r="AJ141" s="485">
        <f t="shared" ca="1" si="17"/>
        <v>33.582007881656125</v>
      </c>
      <c r="AK141" s="627">
        <f t="shared" ca="1" si="20"/>
        <v>32.984250759518865</v>
      </c>
      <c r="AL141" s="482"/>
    </row>
    <row r="142" spans="27:38" x14ac:dyDescent="0.2">
      <c r="AA142" s="483">
        <f t="shared" ca="1" si="18"/>
        <v>12</v>
      </c>
      <c r="AB142" s="484">
        <f t="shared" ca="1" si="11"/>
        <v>8.3371886632508829</v>
      </c>
      <c r="AC142" s="484">
        <f t="shared" ca="1" si="12"/>
        <v>2.6753840000000002</v>
      </c>
      <c r="AD142" s="484">
        <f t="shared" ca="1" si="19"/>
        <v>356</v>
      </c>
      <c r="AE142" s="485">
        <f t="shared" ca="1" si="13"/>
        <v>50.251199999999983</v>
      </c>
      <c r="AF142" s="482"/>
      <c r="AG142" s="483">
        <f t="shared" ca="1" si="14"/>
        <v>25.344637640963121</v>
      </c>
      <c r="AH142" s="484">
        <f t="shared" ca="1" si="15"/>
        <v>45.807035616587363</v>
      </c>
      <c r="AI142" s="484">
        <f t="shared" ca="1" si="16"/>
        <v>32.477140719502586</v>
      </c>
      <c r="AJ142" s="485">
        <f t="shared" ca="1" si="17"/>
        <v>29.00845193948356</v>
      </c>
      <c r="AK142" s="627">
        <f t="shared" ca="1" si="20"/>
        <v>33.159316479134155</v>
      </c>
      <c r="AL142" s="482"/>
    </row>
    <row r="143" spans="27:38" x14ac:dyDescent="0.2">
      <c r="AA143" s="483">
        <f t="shared" ca="1" si="18"/>
        <v>11</v>
      </c>
      <c r="AB143" s="484">
        <f t="shared" ca="1" si="11"/>
        <v>6.5126594683761416</v>
      </c>
      <c r="AC143" s="484">
        <f t="shared" ca="1" si="12"/>
        <v>2.4512619999999998</v>
      </c>
      <c r="AD143" s="484">
        <f t="shared" ca="1" si="19"/>
        <v>135</v>
      </c>
      <c r="AE143" s="485">
        <f t="shared" ca="1" si="13"/>
        <v>59.678599999999989</v>
      </c>
      <c r="AF143" s="482"/>
      <c r="AG143" s="483">
        <f t="shared" ca="1" si="14"/>
        <v>23.593342304175557</v>
      </c>
      <c r="AH143" s="484">
        <f t="shared" ca="1" si="15"/>
        <v>48.127741943170847</v>
      </c>
      <c r="AI143" s="484">
        <f t="shared" ca="1" si="16"/>
        <v>34.056445234284972</v>
      </c>
      <c r="AJ143" s="485">
        <f t="shared" ca="1" si="17"/>
        <v>25.138594806967404</v>
      </c>
      <c r="AK143" s="627">
        <f t="shared" ca="1" si="20"/>
        <v>32.729031072149695</v>
      </c>
      <c r="AL143" s="482"/>
    </row>
    <row r="144" spans="27:38" x14ac:dyDescent="0.2">
      <c r="AA144" s="483">
        <f t="shared" ca="1" si="18"/>
        <v>14</v>
      </c>
      <c r="AB144" s="484">
        <f t="shared" ca="1" si="11"/>
        <v>12.795667543366134</v>
      </c>
      <c r="AC144" s="484">
        <f t="shared" ca="1" si="12"/>
        <v>3.1236280000000001</v>
      </c>
      <c r="AD144" s="484">
        <f t="shared" ca="1" si="19"/>
        <v>836</v>
      </c>
      <c r="AE144" s="485">
        <f t="shared" ca="1" si="13"/>
        <v>31.3964</v>
      </c>
      <c r="AF144" s="482"/>
      <c r="AG144" s="483">
        <f t="shared" ca="1" si="14"/>
        <v>29.148356019506249</v>
      </c>
      <c r="AH144" s="484">
        <f t="shared" ca="1" si="15"/>
        <v>41.885607383665622</v>
      </c>
      <c r="AI144" s="484">
        <f t="shared" ca="1" si="16"/>
        <v>29.726443911821399</v>
      </c>
      <c r="AJ144" s="485">
        <f t="shared" ca="1" si="17"/>
        <v>36.760814281656124</v>
      </c>
      <c r="AK144" s="627">
        <f t="shared" ca="1" si="20"/>
        <v>34.380305399162353</v>
      </c>
      <c r="AL144" s="482"/>
    </row>
    <row r="145" spans="27:38" x14ac:dyDescent="0.2">
      <c r="AA145" s="483">
        <f t="shared" ca="1" si="18"/>
        <v>14</v>
      </c>
      <c r="AB145" s="484">
        <f t="shared" ca="1" si="11"/>
        <v>12.795667543366134</v>
      </c>
      <c r="AC145" s="484">
        <f t="shared" ca="1" si="12"/>
        <v>3.1236280000000001</v>
      </c>
      <c r="AD145" s="484">
        <f t="shared" ca="1" si="19"/>
        <v>171</v>
      </c>
      <c r="AE145" s="485">
        <f t="shared" ca="1" si="13"/>
        <v>31.3964</v>
      </c>
      <c r="AF145" s="482"/>
      <c r="AG145" s="483">
        <f t="shared" ca="1" si="14"/>
        <v>23.878621182566292</v>
      </c>
      <c r="AH145" s="484">
        <f t="shared" ca="1" si="15"/>
        <v>40.078889142622643</v>
      </c>
      <c r="AI145" s="484">
        <f t="shared" ca="1" si="16"/>
        <v>22.587980028858883</v>
      </c>
      <c r="AJ145" s="485">
        <f t="shared" ca="1" si="17"/>
        <v>17.886651281656114</v>
      </c>
      <c r="AK145" s="627">
        <f t="shared" ca="1" si="20"/>
        <v>26.108035408925982</v>
      </c>
      <c r="AL145" s="482"/>
    </row>
    <row r="146" spans="27:38" x14ac:dyDescent="0.2">
      <c r="AA146" s="483">
        <f t="shared" ca="1" si="18"/>
        <v>9</v>
      </c>
      <c r="AB146" s="484">
        <f t="shared" ca="1" si="11"/>
        <v>3.6293567322283229</v>
      </c>
      <c r="AC146" s="484">
        <f t="shared" ca="1" si="12"/>
        <v>2.003018</v>
      </c>
      <c r="AD146" s="484">
        <f t="shared" ca="1" si="19"/>
        <v>484</v>
      </c>
      <c r="AE146" s="485">
        <f t="shared" ca="1" si="13"/>
        <v>78.533399999999986</v>
      </c>
      <c r="AF146" s="482"/>
      <c r="AG146" s="483">
        <f t="shared" ca="1" si="14"/>
        <v>26.358962541907957</v>
      </c>
      <c r="AH146" s="484">
        <f t="shared" ca="1" si="15"/>
        <v>57.495934376977573</v>
      </c>
      <c r="AI146" s="484">
        <f t="shared" ca="1" si="16"/>
        <v>45.706069198320932</v>
      </c>
      <c r="AJ146" s="485">
        <f t="shared" ca="1" si="17"/>
        <v>38.840824728008563</v>
      </c>
      <c r="AK146" s="627">
        <f t="shared" ca="1" si="20"/>
        <v>42.100447711303758</v>
      </c>
      <c r="AL146" s="482"/>
    </row>
    <row r="147" spans="27:38" x14ac:dyDescent="0.2">
      <c r="AA147" s="483">
        <f t="shared" ca="1" si="18"/>
        <v>15</v>
      </c>
      <c r="AB147" s="484">
        <f t="shared" ca="1" si="11"/>
        <v>15.443787118411857</v>
      </c>
      <c r="AC147" s="484">
        <f t="shared" ca="1" si="12"/>
        <v>3.34775</v>
      </c>
      <c r="AD147" s="484">
        <f t="shared" ca="1" si="19"/>
        <v>136</v>
      </c>
      <c r="AE147" s="485">
        <f t="shared" ca="1" si="13"/>
        <v>21.968999999999994</v>
      </c>
      <c r="AF147" s="482"/>
      <c r="AG147" s="483">
        <f t="shared" ca="1" si="14"/>
        <v>23.601266717464188</v>
      </c>
      <c r="AH147" s="484">
        <f t="shared" ca="1" si="15"/>
        <v>37.853301863823596</v>
      </c>
      <c r="AI147" s="484">
        <f t="shared" ca="1" si="16"/>
        <v>18.260635282439804</v>
      </c>
      <c r="AJ147" s="485">
        <f t="shared" ca="1" si="17"/>
        <v>13.406130244356616</v>
      </c>
      <c r="AK147" s="627">
        <f t="shared" ca="1" si="20"/>
        <v>23.280333527021053</v>
      </c>
      <c r="AL147" s="482"/>
    </row>
    <row r="148" spans="27:38" x14ac:dyDescent="0.2">
      <c r="AA148" s="483">
        <f t="shared" ca="1" si="18"/>
        <v>7</v>
      </c>
      <c r="AB148" s="484">
        <f t="shared" ca="1" si="11"/>
        <v>1.6910619505690725</v>
      </c>
      <c r="AC148" s="484">
        <f t="shared" ca="1" si="12"/>
        <v>1.5547739999999999</v>
      </c>
      <c r="AD148" s="484">
        <f t="shared" ca="1" si="19"/>
        <v>395</v>
      </c>
      <c r="AE148" s="485">
        <f t="shared" ca="1" si="13"/>
        <v>97.388199999999998</v>
      </c>
      <c r="AF148" s="482"/>
      <c r="AG148" s="483">
        <f t="shared" ca="1" si="14"/>
        <v>25.653689759219752</v>
      </c>
      <c r="AH148" s="484">
        <f t="shared" ca="1" si="15"/>
        <v>67.953735626900155</v>
      </c>
      <c r="AI148" s="484">
        <f t="shared" ca="1" si="16"/>
        <v>52.653968078540984</v>
      </c>
      <c r="AJ148" s="485">
        <f t="shared" ca="1" si="17"/>
        <v>38.86722882403047</v>
      </c>
      <c r="AK148" s="627">
        <f t="shared" ca="1" si="20"/>
        <v>46.28215557217284</v>
      </c>
      <c r="AL148" s="482"/>
    </row>
    <row r="149" spans="27:38" x14ac:dyDescent="0.2">
      <c r="AA149" s="483">
        <f t="shared" ca="1" si="18"/>
        <v>14</v>
      </c>
      <c r="AB149" s="484">
        <f t="shared" ca="1" si="11"/>
        <v>12.795667543366134</v>
      </c>
      <c r="AC149" s="484">
        <f t="shared" ca="1" si="12"/>
        <v>3.1236280000000001</v>
      </c>
      <c r="AD149" s="484">
        <f t="shared" ca="1" si="19"/>
        <v>197</v>
      </c>
      <c r="AE149" s="485">
        <f t="shared" ca="1" si="13"/>
        <v>31.3964</v>
      </c>
      <c r="AF149" s="482"/>
      <c r="AG149" s="483">
        <f t="shared" ca="1" si="14"/>
        <v>24.08465592807071</v>
      </c>
      <c r="AH149" s="484">
        <f t="shared" ca="1" si="15"/>
        <v>40.146594967089889</v>
      </c>
      <c r="AI149" s="484">
        <f t="shared" ca="1" si="16"/>
        <v>22.867077864884486</v>
      </c>
      <c r="AJ149" s="485">
        <f t="shared" ca="1" si="17"/>
        <v>18.624588481656115</v>
      </c>
      <c r="AK149" s="627">
        <f t="shared" ca="1" si="20"/>
        <v>26.430729310425303</v>
      </c>
      <c r="AL149" s="482"/>
    </row>
    <row r="150" spans="27:38" x14ac:dyDescent="0.2">
      <c r="AA150" s="483">
        <f t="shared" ca="1" si="18"/>
        <v>7</v>
      </c>
      <c r="AB150" s="484">
        <f t="shared" ca="1" si="11"/>
        <v>1.6910619505690725</v>
      </c>
      <c r="AC150" s="484">
        <f t="shared" ca="1" si="12"/>
        <v>1.5547739999999999</v>
      </c>
      <c r="AD150" s="484">
        <f t="shared" ca="1" si="19"/>
        <v>782</v>
      </c>
      <c r="AE150" s="485">
        <f t="shared" ca="1" si="13"/>
        <v>97.388199999999998</v>
      </c>
      <c r="AF150" s="482"/>
      <c r="AG150" s="483">
        <f t="shared" ca="1" si="14"/>
        <v>28.720437701920147</v>
      </c>
      <c r="AH150" s="484">
        <f t="shared" ca="1" si="15"/>
        <v>70.974486073980245</v>
      </c>
      <c r="AI150" s="484">
        <f t="shared" ca="1" si="16"/>
        <v>56.808232022460523</v>
      </c>
      <c r="AJ150" s="485">
        <f t="shared" ca="1" si="17"/>
        <v>49.851140224030466</v>
      </c>
      <c r="AK150" s="627">
        <f t="shared" ca="1" si="20"/>
        <v>51.588574005597849</v>
      </c>
      <c r="AL150" s="482"/>
    </row>
    <row r="151" spans="27:38" x14ac:dyDescent="0.2">
      <c r="AA151" s="483">
        <f t="shared" ca="1" si="18"/>
        <v>16</v>
      </c>
      <c r="AB151" s="484">
        <f t="shared" ca="1" si="11"/>
        <v>18.379198818405975</v>
      </c>
      <c r="AC151" s="484">
        <f t="shared" ca="1" si="12"/>
        <v>3.5718719999999999</v>
      </c>
      <c r="AD151" s="484">
        <f t="shared" ca="1" si="19"/>
        <v>498</v>
      </c>
      <c r="AE151" s="485">
        <f t="shared" ca="1" si="13"/>
        <v>12.541599999999988</v>
      </c>
      <c r="AF151" s="482"/>
      <c r="AG151" s="483">
        <f t="shared" ca="1" si="14"/>
        <v>26.469904327948797</v>
      </c>
      <c r="AH151" s="484">
        <f t="shared" ca="1" si="15"/>
        <v>36.707687956810297</v>
      </c>
      <c r="AI151" s="484">
        <f t="shared" ca="1" si="16"/>
        <v>18.194899801488567</v>
      </c>
      <c r="AJ151" s="485">
        <f t="shared" ca="1" si="17"/>
        <v>19.815025468391042</v>
      </c>
      <c r="AK151" s="627">
        <f t="shared" ca="1" si="20"/>
        <v>25.296879388659676</v>
      </c>
      <c r="AL151" s="482"/>
    </row>
    <row r="152" spans="27:38" x14ac:dyDescent="0.2">
      <c r="AA152" s="483">
        <f t="shared" ca="1" si="18"/>
        <v>10</v>
      </c>
      <c r="AB152" s="484">
        <f t="shared" ca="1" si="11"/>
        <v>4.9467360247874907</v>
      </c>
      <c r="AC152" s="484">
        <f t="shared" ca="1" si="12"/>
        <v>2.2271399999999999</v>
      </c>
      <c r="AD152" s="484">
        <f t="shared" ca="1" si="19"/>
        <v>213</v>
      </c>
      <c r="AE152" s="485">
        <f t="shared" ca="1" si="13"/>
        <v>69.105999999999995</v>
      </c>
      <c r="AF152" s="482"/>
      <c r="AG152" s="483">
        <f t="shared" ca="1" si="14"/>
        <v>24.211446540688815</v>
      </c>
      <c r="AH152" s="484">
        <f t="shared" ca="1" si="15"/>
        <v>51.971102825782388</v>
      </c>
      <c r="AI152" s="484">
        <f t="shared" ca="1" si="16"/>
        <v>38.845374863361776</v>
      </c>
      <c r="AJ152" s="485">
        <f t="shared" ca="1" si="17"/>
        <v>29.414473637856471</v>
      </c>
      <c r="AK152" s="627">
        <f t="shared" ca="1" si="20"/>
        <v>36.110599466922366</v>
      </c>
      <c r="AL152" s="482"/>
    </row>
    <row r="153" spans="27:38" x14ac:dyDescent="0.2">
      <c r="AA153" s="483">
        <f t="shared" ca="1" si="18"/>
        <v>11</v>
      </c>
      <c r="AB153" s="484">
        <f t="shared" ca="1" si="11"/>
        <v>6.5126594683761416</v>
      </c>
      <c r="AC153" s="484">
        <f t="shared" ca="1" si="12"/>
        <v>2.4512619999999998</v>
      </c>
      <c r="AD153" s="484">
        <f t="shared" ca="1" si="19"/>
        <v>683</v>
      </c>
      <c r="AE153" s="485">
        <f t="shared" ca="1" si="13"/>
        <v>59.678599999999989</v>
      </c>
      <c r="AF153" s="482"/>
      <c r="AG153" s="483">
        <f t="shared" ca="1" si="14"/>
        <v>27.935920786345626</v>
      </c>
      <c r="AH153" s="484">
        <f t="shared" ca="1" si="15"/>
        <v>50.273617184193654</v>
      </c>
      <c r="AI153" s="484">
        <f t="shared" ca="1" si="16"/>
        <v>39.938968855132273</v>
      </c>
      <c r="AJ153" s="485">
        <f t="shared" ca="1" si="17"/>
        <v>40.692040406967401</v>
      </c>
      <c r="AK153" s="627">
        <f t="shared" ca="1" si="20"/>
        <v>39.710136808159739</v>
      </c>
      <c r="AL153" s="482"/>
    </row>
    <row r="154" spans="27:38" x14ac:dyDescent="0.2">
      <c r="AA154" s="483">
        <f t="shared" ca="1" si="18"/>
        <v>15</v>
      </c>
      <c r="AB154" s="484">
        <f t="shared" ca="1" si="11"/>
        <v>15.443787118411857</v>
      </c>
      <c r="AC154" s="484">
        <f t="shared" ca="1" si="12"/>
        <v>3.34775</v>
      </c>
      <c r="AD154" s="484">
        <f t="shared" ca="1" si="19"/>
        <v>383</v>
      </c>
      <c r="AE154" s="485">
        <f t="shared" ca="1" si="13"/>
        <v>21.968999999999994</v>
      </c>
      <c r="AF154" s="482"/>
      <c r="AG154" s="483">
        <f t="shared" ca="1" si="14"/>
        <v>25.558596799756174</v>
      </c>
      <c r="AH154" s="484">
        <f t="shared" ca="1" si="15"/>
        <v>38.434888797641975</v>
      </c>
      <c r="AI154" s="484">
        <f t="shared" ca="1" si="16"/>
        <v>20.912064724683024</v>
      </c>
      <c r="AJ154" s="485">
        <f t="shared" ca="1" si="17"/>
        <v>20.416533644356615</v>
      </c>
      <c r="AK154" s="627">
        <f t="shared" ca="1" si="20"/>
        <v>26.330520991609447</v>
      </c>
      <c r="AL154" s="482"/>
    </row>
    <row r="155" spans="27:38" x14ac:dyDescent="0.2">
      <c r="AA155" s="483">
        <f t="shared" ca="1" si="18"/>
        <v>10</v>
      </c>
      <c r="AB155" s="484">
        <f t="shared" ca="1" si="11"/>
        <v>4.9467360247874907</v>
      </c>
      <c r="AC155" s="484">
        <f t="shared" ca="1" si="12"/>
        <v>2.2271399999999999</v>
      </c>
      <c r="AD155" s="484">
        <f t="shared" ca="1" si="19"/>
        <v>985</v>
      </c>
      <c r="AE155" s="485">
        <f t="shared" ca="1" si="13"/>
        <v>69.105999999999995</v>
      </c>
      <c r="AF155" s="482"/>
      <c r="AG155" s="483">
        <f t="shared" ca="1" si="14"/>
        <v>30.329093599512344</v>
      </c>
      <c r="AH155" s="484">
        <f t="shared" ca="1" si="15"/>
        <v>55.580102714869781</v>
      </c>
      <c r="AI155" s="484">
        <f t="shared" ca="1" si="16"/>
        <v>47.132433686891183</v>
      </c>
      <c r="AJ155" s="485">
        <f t="shared" ca="1" si="17"/>
        <v>51.325532037856476</v>
      </c>
      <c r="AK155" s="627">
        <f t="shared" ca="1" si="20"/>
        <v>46.091790509782449</v>
      </c>
      <c r="AL155" s="482"/>
    </row>
    <row r="156" spans="27:38" x14ac:dyDescent="0.2">
      <c r="AA156" s="483">
        <f t="shared" ca="1" si="18"/>
        <v>11</v>
      </c>
      <c r="AB156" s="484">
        <f t="shared" ref="AB156:AB219" ca="1" si="21">10^(-2.729937+1.909478*LOG(AA156)+1.085681*LOG(3.281*(1.3+EXP(4.5503-11.4582*(AA156*2.54)^-0.5994))))/$G$30</f>
        <v>6.5126594683761416</v>
      </c>
      <c r="AC156" s="484">
        <f t="shared" ref="AC156:AC219" ca="1" si="22">-0.01408+0.224122*AA156</f>
        <v>2.4512619999999998</v>
      </c>
      <c r="AD156" s="484">
        <f t="shared" ca="1" si="19"/>
        <v>243</v>
      </c>
      <c r="AE156" s="485">
        <f t="shared" ref="AE156:AE219" ca="1" si="23">-9.4274*AA156+163.38</f>
        <v>59.678599999999989</v>
      </c>
      <c r="AF156" s="482"/>
      <c r="AG156" s="483">
        <f t="shared" ref="AG156:AG219" ca="1" si="24">20.3761+0.1734*35.86/3.281+0.0244*33.92/3.281+0.026*AD156/3.281</f>
        <v>24.44917893934776</v>
      </c>
      <c r="AH156" s="484">
        <f t="shared" ref="AH156:AH219" ca="1" si="25">(1/(0.0003089+0.0000001165*(AD156/3.281)-0.0000003168*(100/3.281)-0.0000001696*(AD156/3.281)-0.000001496*(AE156)))/100</f>
        <v>48.536034841263373</v>
      </c>
      <c r="AI156" s="484">
        <f t="shared" ref="AI156:AI219" ca="1" si="26">(714.1783+1.4775*(100/3.281)+3.522*(AD156/3.281)+41.9165*(AE156))/100</f>
        <v>35.215774707006702</v>
      </c>
      <c r="AJ156" s="485">
        <f t="shared" ref="AJ156:AJ219" ca="1" si="27">(((11.2+0.853*141.1/3.281)+(103+2.66*AD156+0.0384*AD156*AF156)+(236+1550*0.96-4540*0.96*AB156/35.315)+(21.9+3.04*101.7/3.281)+(36.8+0.65*141.1/3.281)+(-162+852*0.96+5105*0.83*0.021))*(1+0.067))/100</f>
        <v>28.203872406967399</v>
      </c>
      <c r="AK156" s="627">
        <f t="shared" ca="1" si="20"/>
        <v>34.101215223646307</v>
      </c>
      <c r="AL156" s="482"/>
    </row>
    <row r="157" spans="27:38" x14ac:dyDescent="0.2">
      <c r="AA157" s="483">
        <f t="shared" ref="AA157:AA220" ca="1" si="28">RANDBETWEEN(6,16)</f>
        <v>7</v>
      </c>
      <c r="AB157" s="484">
        <f t="shared" ca="1" si="21"/>
        <v>1.6910619505690725</v>
      </c>
      <c r="AC157" s="484">
        <f t="shared" ca="1" si="22"/>
        <v>1.5547739999999999</v>
      </c>
      <c r="AD157" s="484">
        <f t="shared" ref="AD157:AD220" ca="1" si="29">RANDBETWEEN(100,1000)</f>
        <v>729</v>
      </c>
      <c r="AE157" s="485">
        <f t="shared" ca="1" si="23"/>
        <v>97.388199999999998</v>
      </c>
      <c r="AF157" s="482"/>
      <c r="AG157" s="483">
        <f t="shared" ca="1" si="24"/>
        <v>28.300443797622677</v>
      </c>
      <c r="AH157" s="484">
        <f t="shared" ca="1" si="25"/>
        <v>70.545016151316815</v>
      </c>
      <c r="AI157" s="484">
        <f t="shared" ca="1" si="26"/>
        <v>56.239301818254489</v>
      </c>
      <c r="AJ157" s="485">
        <f t="shared" ca="1" si="27"/>
        <v>48.346883624030468</v>
      </c>
      <c r="AK157" s="627">
        <f t="shared" ref="AK157:AK220" ca="1" si="30">AVERAGE(AG157:AJ157)</f>
        <v>50.857911347806109</v>
      </c>
      <c r="AL157" s="482"/>
    </row>
    <row r="158" spans="27:38" x14ac:dyDescent="0.2">
      <c r="AA158" s="483">
        <f t="shared" ca="1" si="28"/>
        <v>12</v>
      </c>
      <c r="AB158" s="484">
        <f t="shared" ca="1" si="21"/>
        <v>8.3371886632508829</v>
      </c>
      <c r="AC158" s="484">
        <f t="shared" ca="1" si="22"/>
        <v>2.6753840000000002</v>
      </c>
      <c r="AD158" s="484">
        <f t="shared" ca="1" si="29"/>
        <v>607</v>
      </c>
      <c r="AE158" s="485">
        <f t="shared" ca="1" si="23"/>
        <v>50.251199999999983</v>
      </c>
      <c r="AF158" s="482"/>
      <c r="AG158" s="483">
        <f t="shared" ca="1" si="24"/>
        <v>27.33366537640963</v>
      </c>
      <c r="AH158" s="484">
        <f t="shared" ca="1" si="25"/>
        <v>46.675563507619273</v>
      </c>
      <c r="AI158" s="484">
        <f t="shared" ca="1" si="26"/>
        <v>35.171508290365125</v>
      </c>
      <c r="AJ158" s="485">
        <f t="shared" ca="1" si="27"/>
        <v>36.132384139483563</v>
      </c>
      <c r="AK158" s="627">
        <f t="shared" ca="1" si="30"/>
        <v>36.328280328469397</v>
      </c>
      <c r="AL158" s="482"/>
    </row>
    <row r="159" spans="27:38" x14ac:dyDescent="0.2">
      <c r="AA159" s="483">
        <f t="shared" ca="1" si="28"/>
        <v>14</v>
      </c>
      <c r="AB159" s="484">
        <f t="shared" ca="1" si="21"/>
        <v>12.795667543366134</v>
      </c>
      <c r="AC159" s="484">
        <f t="shared" ca="1" si="22"/>
        <v>3.1236280000000001</v>
      </c>
      <c r="AD159" s="484">
        <f t="shared" ca="1" si="29"/>
        <v>200</v>
      </c>
      <c r="AE159" s="485">
        <f t="shared" ca="1" si="23"/>
        <v>31.3964</v>
      </c>
      <c r="AF159" s="482"/>
      <c r="AG159" s="483">
        <f t="shared" ca="1" si="24"/>
        <v>24.108429167936606</v>
      </c>
      <c r="AH159" s="484">
        <f t="shared" ca="1" si="25"/>
        <v>40.154421900513526</v>
      </c>
      <c r="AI159" s="484">
        <f t="shared" ca="1" si="26"/>
        <v>22.899281461348977</v>
      </c>
      <c r="AJ159" s="485">
        <f t="shared" ca="1" si="27"/>
        <v>18.709735081656117</v>
      </c>
      <c r="AK159" s="627">
        <f t="shared" ca="1" si="30"/>
        <v>26.467966902863807</v>
      </c>
      <c r="AL159" s="482"/>
    </row>
    <row r="160" spans="27:38" x14ac:dyDescent="0.2">
      <c r="AA160" s="483">
        <f t="shared" ca="1" si="28"/>
        <v>9</v>
      </c>
      <c r="AB160" s="484">
        <f t="shared" ca="1" si="21"/>
        <v>3.6293567322283229</v>
      </c>
      <c r="AC160" s="484">
        <f t="shared" ca="1" si="22"/>
        <v>2.003018</v>
      </c>
      <c r="AD160" s="484">
        <f t="shared" ca="1" si="29"/>
        <v>867</v>
      </c>
      <c r="AE160" s="485">
        <f t="shared" ca="1" si="23"/>
        <v>78.533399999999986</v>
      </c>
      <c r="AF160" s="482"/>
      <c r="AG160" s="483">
        <f t="shared" ca="1" si="24"/>
        <v>29.394012831453825</v>
      </c>
      <c r="AH160" s="484">
        <f t="shared" ca="1" si="25"/>
        <v>59.620751952543522</v>
      </c>
      <c r="AI160" s="484">
        <f t="shared" ca="1" si="26"/>
        <v>49.817395013621145</v>
      </c>
      <c r="AJ160" s="485">
        <f t="shared" ca="1" si="27"/>
        <v>49.711207328008555</v>
      </c>
      <c r="AK160" s="627">
        <f t="shared" ca="1" si="30"/>
        <v>47.135841781406761</v>
      </c>
      <c r="AL160" s="482"/>
    </row>
    <row r="161" spans="27:38" x14ac:dyDescent="0.2">
      <c r="AA161" s="483">
        <f t="shared" ca="1" si="28"/>
        <v>7</v>
      </c>
      <c r="AB161" s="484">
        <f t="shared" ca="1" si="21"/>
        <v>1.6910619505690725</v>
      </c>
      <c r="AC161" s="484">
        <f t="shared" ca="1" si="22"/>
        <v>1.5547739999999999</v>
      </c>
      <c r="AD161" s="484">
        <f t="shared" ca="1" si="29"/>
        <v>754</v>
      </c>
      <c r="AE161" s="485">
        <f t="shared" ca="1" si="23"/>
        <v>97.388199999999998</v>
      </c>
      <c r="AF161" s="482"/>
      <c r="AG161" s="483">
        <f t="shared" ca="1" si="24"/>
        <v>28.498554129838464</v>
      </c>
      <c r="AH161" s="484">
        <f t="shared" ca="1" si="25"/>
        <v>70.746946845746066</v>
      </c>
      <c r="AI161" s="484">
        <f t="shared" ca="1" si="26"/>
        <v>56.50766512212526</v>
      </c>
      <c r="AJ161" s="485">
        <f t="shared" ca="1" si="27"/>
        <v>49.05643862403047</v>
      </c>
      <c r="AK161" s="627">
        <f t="shared" ca="1" si="30"/>
        <v>51.202401180435068</v>
      </c>
      <c r="AL161" s="482"/>
    </row>
    <row r="162" spans="27:38" x14ac:dyDescent="0.2">
      <c r="AA162" s="483">
        <f t="shared" ca="1" si="28"/>
        <v>11</v>
      </c>
      <c r="AB162" s="484">
        <f t="shared" ca="1" si="21"/>
        <v>6.5126594683761416</v>
      </c>
      <c r="AC162" s="484">
        <f t="shared" ca="1" si="22"/>
        <v>2.4512619999999998</v>
      </c>
      <c r="AD162" s="484">
        <f t="shared" ca="1" si="29"/>
        <v>294</v>
      </c>
      <c r="AE162" s="485">
        <f t="shared" ca="1" si="23"/>
        <v>59.678599999999989</v>
      </c>
      <c r="AF162" s="482"/>
      <c r="AG162" s="483">
        <f t="shared" ca="1" si="24"/>
        <v>24.853324017067969</v>
      </c>
      <c r="AH162" s="484">
        <f t="shared" ca="1" si="25"/>
        <v>48.731257570297458</v>
      </c>
      <c r="AI162" s="484">
        <f t="shared" ca="1" si="26"/>
        <v>35.763235846903072</v>
      </c>
      <c r="AJ162" s="485">
        <f t="shared" ca="1" si="27"/>
        <v>29.651364606967409</v>
      </c>
      <c r="AK162" s="627">
        <f t="shared" ca="1" si="30"/>
        <v>34.749795510308978</v>
      </c>
      <c r="AL162" s="482"/>
    </row>
    <row r="163" spans="27:38" x14ac:dyDescent="0.2">
      <c r="AA163" s="483">
        <f t="shared" ca="1" si="28"/>
        <v>7</v>
      </c>
      <c r="AB163" s="484">
        <f t="shared" ca="1" si="21"/>
        <v>1.6910619505690725</v>
      </c>
      <c r="AC163" s="484">
        <f t="shared" ca="1" si="22"/>
        <v>1.5547739999999999</v>
      </c>
      <c r="AD163" s="484">
        <f t="shared" ca="1" si="29"/>
        <v>354</v>
      </c>
      <c r="AE163" s="485">
        <f t="shared" ca="1" si="23"/>
        <v>97.388199999999998</v>
      </c>
      <c r="AF163" s="482"/>
      <c r="AG163" s="483">
        <f t="shared" ca="1" si="24"/>
        <v>25.328788814385859</v>
      </c>
      <c r="AH163" s="484">
        <f t="shared" ca="1" si="25"/>
        <v>67.64870393464706</v>
      </c>
      <c r="AI163" s="484">
        <f t="shared" ca="1" si="26"/>
        <v>52.213852260192922</v>
      </c>
      <c r="AJ163" s="485">
        <f t="shared" ca="1" si="27"/>
        <v>37.703558624030478</v>
      </c>
      <c r="AK163" s="627">
        <f t="shared" ca="1" si="30"/>
        <v>45.72372590831408</v>
      </c>
      <c r="AL163" s="482"/>
    </row>
    <row r="164" spans="27:38" x14ac:dyDescent="0.2">
      <c r="AA164" s="483">
        <f t="shared" ca="1" si="28"/>
        <v>7</v>
      </c>
      <c r="AB164" s="484">
        <f t="shared" ca="1" si="21"/>
        <v>1.6910619505690725</v>
      </c>
      <c r="AC164" s="484">
        <f t="shared" ca="1" si="22"/>
        <v>1.5547739999999999</v>
      </c>
      <c r="AD164" s="484">
        <f t="shared" ca="1" si="29"/>
        <v>665</v>
      </c>
      <c r="AE164" s="485">
        <f t="shared" ca="1" si="23"/>
        <v>97.388199999999998</v>
      </c>
      <c r="AF164" s="482"/>
      <c r="AG164" s="483">
        <f t="shared" ca="1" si="24"/>
        <v>27.793281347150259</v>
      </c>
      <c r="AH164" s="484">
        <f t="shared" ca="1" si="25"/>
        <v>70.033288223036308</v>
      </c>
      <c r="AI164" s="484">
        <f t="shared" ca="1" si="26"/>
        <v>55.552291760345312</v>
      </c>
      <c r="AJ164" s="485">
        <f t="shared" ca="1" si="27"/>
        <v>46.530422824030474</v>
      </c>
      <c r="AK164" s="627">
        <f t="shared" ca="1" si="30"/>
        <v>49.977321038640589</v>
      </c>
      <c r="AL164" s="482"/>
    </row>
    <row r="165" spans="27:38" x14ac:dyDescent="0.2">
      <c r="AA165" s="483">
        <f t="shared" ca="1" si="28"/>
        <v>9</v>
      </c>
      <c r="AB165" s="484">
        <f t="shared" ca="1" si="21"/>
        <v>3.6293567322283229</v>
      </c>
      <c r="AC165" s="484">
        <f t="shared" ca="1" si="22"/>
        <v>2.003018</v>
      </c>
      <c r="AD165" s="484">
        <f t="shared" ca="1" si="29"/>
        <v>486</v>
      </c>
      <c r="AE165" s="485">
        <f t="shared" ca="1" si="23"/>
        <v>78.533399999999986</v>
      </c>
      <c r="AF165" s="482"/>
      <c r="AG165" s="483">
        <f t="shared" ca="1" si="24"/>
        <v>26.374811368485219</v>
      </c>
      <c r="AH165" s="484">
        <f t="shared" ca="1" si="25"/>
        <v>57.506636585045655</v>
      </c>
      <c r="AI165" s="484">
        <f t="shared" ca="1" si="26"/>
        <v>45.727538262630588</v>
      </c>
      <c r="AJ165" s="485">
        <f t="shared" ca="1" si="27"/>
        <v>38.897589128008562</v>
      </c>
      <c r="AK165" s="627">
        <f t="shared" ca="1" si="30"/>
        <v>42.126643836042504</v>
      </c>
      <c r="AL165" s="482"/>
    </row>
    <row r="166" spans="27:38" x14ac:dyDescent="0.2">
      <c r="AA166" s="483">
        <f t="shared" ca="1" si="28"/>
        <v>16</v>
      </c>
      <c r="AB166" s="484">
        <f t="shared" ca="1" si="21"/>
        <v>18.379198818405975</v>
      </c>
      <c r="AC166" s="484">
        <f t="shared" ca="1" si="22"/>
        <v>3.5718719999999999</v>
      </c>
      <c r="AD166" s="484">
        <f t="shared" ca="1" si="29"/>
        <v>304</v>
      </c>
      <c r="AE166" s="485">
        <f t="shared" ca="1" si="23"/>
        <v>12.541599999999988</v>
      </c>
      <c r="AF166" s="482"/>
      <c r="AG166" s="483">
        <f t="shared" ca="1" si="24"/>
        <v>24.932568149954282</v>
      </c>
      <c r="AH166" s="484">
        <f t="shared" ca="1" si="25"/>
        <v>36.289446197773024</v>
      </c>
      <c r="AI166" s="484">
        <f t="shared" ca="1" si="26"/>
        <v>16.112400563451381</v>
      </c>
      <c r="AJ166" s="485">
        <f t="shared" ca="1" si="27"/>
        <v>14.308878668391044</v>
      </c>
      <c r="AK166" s="627">
        <f t="shared" ca="1" si="30"/>
        <v>22.910823394892436</v>
      </c>
      <c r="AL166" s="482"/>
    </row>
    <row r="167" spans="27:38" x14ac:dyDescent="0.2">
      <c r="AA167" s="483">
        <f t="shared" ca="1" si="28"/>
        <v>6</v>
      </c>
      <c r="AB167" s="484">
        <f t="shared" ca="1" si="21"/>
        <v>1.0396976224741601</v>
      </c>
      <c r="AC167" s="484">
        <f t="shared" ca="1" si="22"/>
        <v>1.3306519999999999</v>
      </c>
      <c r="AD167" s="484">
        <f t="shared" ca="1" si="29"/>
        <v>321</v>
      </c>
      <c r="AE167" s="485">
        <f t="shared" ca="1" si="23"/>
        <v>106.81559999999999</v>
      </c>
      <c r="AF167" s="482"/>
      <c r="AG167" s="483">
        <f t="shared" ca="1" si="24"/>
        <v>25.067283175861018</v>
      </c>
      <c r="AH167" s="484">
        <f t="shared" ca="1" si="25"/>
        <v>74.486133220532608</v>
      </c>
      <c r="AI167" s="484">
        <f t="shared" ca="1" si="26"/>
        <v>55.811248820083513</v>
      </c>
      <c r="AJ167" s="485">
        <f t="shared" ca="1" si="27"/>
        <v>37.624687212997195</v>
      </c>
      <c r="AK167" s="627">
        <f t="shared" ca="1" si="30"/>
        <v>48.247338107368584</v>
      </c>
      <c r="AL167" s="482"/>
    </row>
    <row r="168" spans="27:38" x14ac:dyDescent="0.2">
      <c r="AA168" s="483">
        <f t="shared" ca="1" si="28"/>
        <v>16</v>
      </c>
      <c r="AB168" s="484">
        <f t="shared" ca="1" si="21"/>
        <v>18.379198818405975</v>
      </c>
      <c r="AC168" s="484">
        <f t="shared" ca="1" si="22"/>
        <v>3.5718719999999999</v>
      </c>
      <c r="AD168" s="484">
        <f t="shared" ca="1" si="29"/>
        <v>748</v>
      </c>
      <c r="AE168" s="485">
        <f t="shared" ca="1" si="23"/>
        <v>12.541599999999988</v>
      </c>
      <c r="AF168" s="482"/>
      <c r="AG168" s="483">
        <f t="shared" ca="1" si="24"/>
        <v>28.451007650106675</v>
      </c>
      <c r="AH168" s="484">
        <f t="shared" ca="1" si="25"/>
        <v>37.261090164936164</v>
      </c>
      <c r="AI168" s="484">
        <f t="shared" ca="1" si="26"/>
        <v>20.878532840196275</v>
      </c>
      <c r="AJ168" s="485">
        <f t="shared" ca="1" si="27"/>
        <v>26.910575468391045</v>
      </c>
      <c r="AK168" s="627">
        <f t="shared" ca="1" si="30"/>
        <v>28.375301530907539</v>
      </c>
      <c r="AL168" s="482"/>
    </row>
    <row r="169" spans="27:38" x14ac:dyDescent="0.2">
      <c r="AA169" s="483">
        <f t="shared" ca="1" si="28"/>
        <v>7</v>
      </c>
      <c r="AB169" s="484">
        <f t="shared" ca="1" si="21"/>
        <v>1.6910619505690725</v>
      </c>
      <c r="AC169" s="484">
        <f t="shared" ca="1" si="22"/>
        <v>1.5547739999999999</v>
      </c>
      <c r="AD169" s="484">
        <f t="shared" ca="1" si="29"/>
        <v>528</v>
      </c>
      <c r="AE169" s="485">
        <f t="shared" ca="1" si="23"/>
        <v>97.388199999999998</v>
      </c>
      <c r="AF169" s="482"/>
      <c r="AG169" s="483">
        <f t="shared" ca="1" si="24"/>
        <v>26.707636726607742</v>
      </c>
      <c r="AH169" s="484">
        <f t="shared" ca="1" si="25"/>
        <v>68.962444674983189</v>
      </c>
      <c r="AI169" s="484">
        <f t="shared" ca="1" si="26"/>
        <v>54.081660855133485</v>
      </c>
      <c r="AJ169" s="485">
        <f t="shared" ca="1" si="27"/>
        <v>42.642061424030473</v>
      </c>
      <c r="AK169" s="627">
        <f t="shared" ca="1" si="30"/>
        <v>48.098450920188725</v>
      </c>
      <c r="AL169" s="482"/>
    </row>
    <row r="170" spans="27:38" x14ac:dyDescent="0.2">
      <c r="AA170" s="483">
        <f t="shared" ca="1" si="28"/>
        <v>15</v>
      </c>
      <c r="AB170" s="484">
        <f t="shared" ca="1" si="21"/>
        <v>15.443787118411857</v>
      </c>
      <c r="AC170" s="484">
        <f t="shared" ca="1" si="22"/>
        <v>3.34775</v>
      </c>
      <c r="AD170" s="484">
        <f t="shared" ca="1" si="29"/>
        <v>158</v>
      </c>
      <c r="AE170" s="485">
        <f t="shared" ca="1" si="23"/>
        <v>21.968999999999994</v>
      </c>
      <c r="AF170" s="482"/>
      <c r="AG170" s="483">
        <f t="shared" ca="1" si="24"/>
        <v>23.775603809814083</v>
      </c>
      <c r="AH170" s="484">
        <f t="shared" ca="1" si="25"/>
        <v>37.904388138031315</v>
      </c>
      <c r="AI170" s="484">
        <f t="shared" ca="1" si="26"/>
        <v>18.49679498984608</v>
      </c>
      <c r="AJ170" s="485">
        <f t="shared" ca="1" si="27"/>
        <v>14.030538644356616</v>
      </c>
      <c r="AK170" s="627">
        <f t="shared" ca="1" si="30"/>
        <v>23.551831395512021</v>
      </c>
      <c r="AL170" s="482"/>
    </row>
    <row r="171" spans="27:38" x14ac:dyDescent="0.2">
      <c r="AA171" s="483">
        <f t="shared" ca="1" si="28"/>
        <v>8</v>
      </c>
      <c r="AB171" s="484">
        <f t="shared" ca="1" si="21"/>
        <v>2.5487599750311212</v>
      </c>
      <c r="AC171" s="484">
        <f t="shared" ca="1" si="22"/>
        <v>1.7788959999999998</v>
      </c>
      <c r="AD171" s="484">
        <f t="shared" ca="1" si="29"/>
        <v>544</v>
      </c>
      <c r="AE171" s="485">
        <f t="shared" ca="1" si="23"/>
        <v>87.960799999999992</v>
      </c>
      <c r="AF171" s="482"/>
      <c r="AG171" s="483">
        <f t="shared" ca="1" si="24"/>
        <v>26.834427339225847</v>
      </c>
      <c r="AH171" s="484">
        <f t="shared" ca="1" si="25"/>
        <v>62.952112108879348</v>
      </c>
      <c r="AI171" s="484">
        <f t="shared" ca="1" si="26"/>
        <v>50.301777248610776</v>
      </c>
      <c r="AJ171" s="485">
        <f t="shared" ca="1" si="27"/>
        <v>41.966727417887753</v>
      </c>
      <c r="AK171" s="627">
        <f t="shared" ca="1" si="30"/>
        <v>45.513761028650933</v>
      </c>
      <c r="AL171" s="482"/>
    </row>
    <row r="172" spans="27:38" x14ac:dyDescent="0.2">
      <c r="AA172" s="483">
        <f t="shared" ca="1" si="28"/>
        <v>11</v>
      </c>
      <c r="AB172" s="484">
        <f t="shared" ca="1" si="21"/>
        <v>6.5126594683761416</v>
      </c>
      <c r="AC172" s="484">
        <f t="shared" ca="1" si="22"/>
        <v>2.4512619999999998</v>
      </c>
      <c r="AD172" s="484">
        <f t="shared" ca="1" si="29"/>
        <v>506</v>
      </c>
      <c r="AE172" s="485">
        <f t="shared" ca="1" si="23"/>
        <v>59.678599999999989</v>
      </c>
      <c r="AF172" s="482"/>
      <c r="AG172" s="483">
        <f t="shared" ca="1" si="24"/>
        <v>26.533299634257848</v>
      </c>
      <c r="AH172" s="484">
        <f t="shared" ca="1" si="25"/>
        <v>49.559890346182939</v>
      </c>
      <c r="AI172" s="484">
        <f t="shared" ca="1" si="26"/>
        <v>38.038956663727213</v>
      </c>
      <c r="AJ172" s="485">
        <f t="shared" ca="1" si="27"/>
        <v>35.668391006967411</v>
      </c>
      <c r="AK172" s="627">
        <f t="shared" ca="1" si="30"/>
        <v>37.450134412783854</v>
      </c>
      <c r="AL172" s="482"/>
    </row>
    <row r="173" spans="27:38" x14ac:dyDescent="0.2">
      <c r="AA173" s="483">
        <f t="shared" ca="1" si="28"/>
        <v>11</v>
      </c>
      <c r="AB173" s="484">
        <f t="shared" ca="1" si="21"/>
        <v>6.5126594683761416</v>
      </c>
      <c r="AC173" s="484">
        <f t="shared" ca="1" si="22"/>
        <v>2.4512619999999998</v>
      </c>
      <c r="AD173" s="484">
        <f t="shared" ca="1" si="29"/>
        <v>610</v>
      </c>
      <c r="AE173" s="485">
        <f t="shared" ca="1" si="23"/>
        <v>59.678599999999989</v>
      </c>
      <c r="AF173" s="482"/>
      <c r="AG173" s="483">
        <f t="shared" ca="1" si="24"/>
        <v>27.357438616275527</v>
      </c>
      <c r="AH173" s="484">
        <f t="shared" ca="1" si="25"/>
        <v>49.976779148937538</v>
      </c>
      <c r="AI173" s="484">
        <f t="shared" ca="1" si="26"/>
        <v>39.155348007829623</v>
      </c>
      <c r="AJ173" s="485">
        <f t="shared" ca="1" si="27"/>
        <v>38.620139806967408</v>
      </c>
      <c r="AK173" s="627">
        <f t="shared" ca="1" si="30"/>
        <v>38.777426395002529</v>
      </c>
      <c r="AL173" s="482"/>
    </row>
    <row r="174" spans="27:38" x14ac:dyDescent="0.2">
      <c r="AA174" s="483">
        <f t="shared" ca="1" si="28"/>
        <v>12</v>
      </c>
      <c r="AB174" s="484">
        <f t="shared" ca="1" si="21"/>
        <v>8.3371886632508829</v>
      </c>
      <c r="AC174" s="484">
        <f t="shared" ca="1" si="22"/>
        <v>2.6753840000000002</v>
      </c>
      <c r="AD174" s="484">
        <f t="shared" ca="1" si="29"/>
        <v>830</v>
      </c>
      <c r="AE174" s="485">
        <f t="shared" ca="1" si="23"/>
        <v>50.251199999999983</v>
      </c>
      <c r="AF174" s="482"/>
      <c r="AG174" s="483">
        <f t="shared" ca="1" si="24"/>
        <v>29.10080953977446</v>
      </c>
      <c r="AH174" s="484">
        <f t="shared" ca="1" si="25"/>
        <v>47.475306607613362</v>
      </c>
      <c r="AI174" s="484">
        <f t="shared" ca="1" si="26"/>
        <v>37.565308960892402</v>
      </c>
      <c r="AJ174" s="485">
        <f t="shared" ca="1" si="27"/>
        <v>42.461614739483565</v>
      </c>
      <c r="AK174" s="627">
        <f t="shared" ca="1" si="30"/>
        <v>39.150759961940949</v>
      </c>
      <c r="AL174" s="482"/>
    </row>
    <row r="175" spans="27:38" x14ac:dyDescent="0.2">
      <c r="AA175" s="483">
        <f t="shared" ca="1" si="28"/>
        <v>12</v>
      </c>
      <c r="AB175" s="484">
        <f t="shared" ca="1" si="21"/>
        <v>8.3371886632508829</v>
      </c>
      <c r="AC175" s="484">
        <f t="shared" ca="1" si="22"/>
        <v>2.6753840000000002</v>
      </c>
      <c r="AD175" s="484">
        <f t="shared" ca="1" si="29"/>
        <v>343</v>
      </c>
      <c r="AE175" s="485">
        <f t="shared" ca="1" si="23"/>
        <v>50.251199999999983</v>
      </c>
      <c r="AF175" s="482"/>
      <c r="AG175" s="483">
        <f t="shared" ca="1" si="24"/>
        <v>25.241620268210912</v>
      </c>
      <c r="AH175" s="484">
        <f t="shared" ca="1" si="25"/>
        <v>45.762931648138085</v>
      </c>
      <c r="AI175" s="484">
        <f t="shared" ca="1" si="26"/>
        <v>32.337591801489786</v>
      </c>
      <c r="AJ175" s="485">
        <f t="shared" ca="1" si="27"/>
        <v>28.639483339483562</v>
      </c>
      <c r="AK175" s="627">
        <f t="shared" ca="1" si="30"/>
        <v>32.995406764330582</v>
      </c>
      <c r="AL175" s="482"/>
    </row>
    <row r="176" spans="27:38" x14ac:dyDescent="0.2">
      <c r="AA176" s="483">
        <f t="shared" ca="1" si="28"/>
        <v>11</v>
      </c>
      <c r="AB176" s="484">
        <f t="shared" ca="1" si="21"/>
        <v>6.5126594683761416</v>
      </c>
      <c r="AC176" s="484">
        <f t="shared" ca="1" si="22"/>
        <v>2.4512619999999998</v>
      </c>
      <c r="AD176" s="484">
        <f t="shared" ca="1" si="29"/>
        <v>193</v>
      </c>
      <c r="AE176" s="485">
        <f t="shared" ca="1" si="23"/>
        <v>59.678599999999989</v>
      </c>
      <c r="AF176" s="482"/>
      <c r="AG176" s="483">
        <f t="shared" ca="1" si="24"/>
        <v>24.052958274916186</v>
      </c>
      <c r="AH176" s="484">
        <f t="shared" ca="1" si="25"/>
        <v>48.346152531189915</v>
      </c>
      <c r="AI176" s="484">
        <f t="shared" ca="1" si="26"/>
        <v>34.679048099265152</v>
      </c>
      <c r="AJ176" s="485">
        <f t="shared" ca="1" si="27"/>
        <v>26.784762406967399</v>
      </c>
      <c r="AK176" s="627">
        <f t="shared" ca="1" si="30"/>
        <v>33.465730328084661</v>
      </c>
      <c r="AL176" s="482"/>
    </row>
    <row r="177" spans="27:38" x14ac:dyDescent="0.2">
      <c r="AA177" s="483">
        <f t="shared" ca="1" si="28"/>
        <v>7</v>
      </c>
      <c r="AB177" s="484">
        <f t="shared" ca="1" si="21"/>
        <v>1.6910619505690725</v>
      </c>
      <c r="AC177" s="484">
        <f t="shared" ca="1" si="22"/>
        <v>1.5547739999999999</v>
      </c>
      <c r="AD177" s="484">
        <f t="shared" ca="1" si="29"/>
        <v>911</v>
      </c>
      <c r="AE177" s="485">
        <f t="shared" ca="1" si="23"/>
        <v>97.388199999999998</v>
      </c>
      <c r="AF177" s="482"/>
      <c r="AG177" s="483">
        <f t="shared" ca="1" si="24"/>
        <v>29.74268701615361</v>
      </c>
      <c r="AH177" s="484">
        <f t="shared" ca="1" si="25"/>
        <v>72.041981210898101</v>
      </c>
      <c r="AI177" s="484">
        <f t="shared" ca="1" si="26"/>
        <v>58.192986670433712</v>
      </c>
      <c r="AJ177" s="485">
        <f t="shared" ca="1" si="27"/>
        <v>53.512444024030486</v>
      </c>
      <c r="AK177" s="627">
        <f t="shared" ca="1" si="30"/>
        <v>53.372524730378977</v>
      </c>
      <c r="AL177" s="482"/>
    </row>
    <row r="178" spans="27:38" x14ac:dyDescent="0.2">
      <c r="AA178" s="483">
        <f t="shared" ca="1" si="28"/>
        <v>13</v>
      </c>
      <c r="AB178" s="484">
        <f t="shared" ca="1" si="21"/>
        <v>10.42900695605948</v>
      </c>
      <c r="AC178" s="484">
        <f t="shared" ca="1" si="22"/>
        <v>2.8995060000000001</v>
      </c>
      <c r="AD178" s="484">
        <f t="shared" ca="1" si="29"/>
        <v>307</v>
      </c>
      <c r="AE178" s="485">
        <f t="shared" ca="1" si="23"/>
        <v>40.823799999999991</v>
      </c>
      <c r="AF178" s="482"/>
      <c r="AG178" s="483">
        <f t="shared" ca="1" si="24"/>
        <v>24.956341389820178</v>
      </c>
      <c r="AH178" s="484">
        <f t="shared" ca="1" si="25"/>
        <v>42.881005518646482</v>
      </c>
      <c r="AI178" s="484">
        <f t="shared" ca="1" si="26"/>
        <v>27.999512522915875</v>
      </c>
      <c r="AJ178" s="485">
        <f t="shared" ca="1" si="27"/>
        <v>24.863138676039906</v>
      </c>
      <c r="AK178" s="627">
        <f t="shared" ca="1" si="30"/>
        <v>30.174999526855611</v>
      </c>
      <c r="AL178" s="482"/>
    </row>
    <row r="179" spans="27:38" x14ac:dyDescent="0.2">
      <c r="AA179" s="483">
        <f t="shared" ca="1" si="28"/>
        <v>6</v>
      </c>
      <c r="AB179" s="484">
        <f t="shared" ca="1" si="21"/>
        <v>1.0396976224741601</v>
      </c>
      <c r="AC179" s="484">
        <f t="shared" ca="1" si="22"/>
        <v>1.3306519999999999</v>
      </c>
      <c r="AD179" s="484">
        <f t="shared" ca="1" si="29"/>
        <v>759</v>
      </c>
      <c r="AE179" s="485">
        <f t="shared" ca="1" si="23"/>
        <v>106.81559999999999</v>
      </c>
      <c r="AF179" s="482"/>
      <c r="AG179" s="483">
        <f t="shared" ca="1" si="24"/>
        <v>28.538176196281622</v>
      </c>
      <c r="AH179" s="484">
        <f t="shared" ca="1" si="25"/>
        <v>78.638271309561546</v>
      </c>
      <c r="AI179" s="484">
        <f t="shared" ca="1" si="26"/>
        <v>60.512973903899422</v>
      </c>
      <c r="AJ179" s="485">
        <f t="shared" ca="1" si="27"/>
        <v>50.056090812997198</v>
      </c>
      <c r="AK179" s="627">
        <f t="shared" ca="1" si="30"/>
        <v>54.436378055684941</v>
      </c>
      <c r="AL179" s="482"/>
    </row>
    <row r="180" spans="27:38" x14ac:dyDescent="0.2">
      <c r="AA180" s="483">
        <f t="shared" ca="1" si="28"/>
        <v>11</v>
      </c>
      <c r="AB180" s="484">
        <f t="shared" ca="1" si="21"/>
        <v>6.5126594683761416</v>
      </c>
      <c r="AC180" s="484">
        <f t="shared" ca="1" si="22"/>
        <v>2.4512619999999998</v>
      </c>
      <c r="AD180" s="484">
        <f t="shared" ca="1" si="29"/>
        <v>806</v>
      </c>
      <c r="AE180" s="485">
        <f t="shared" ca="1" si="23"/>
        <v>59.678599999999989</v>
      </c>
      <c r="AF180" s="482"/>
      <c r="AG180" s="483">
        <f t="shared" ca="1" si="24"/>
        <v>28.910623620847304</v>
      </c>
      <c r="AH180" s="484">
        <f t="shared" ca="1" si="25"/>
        <v>50.781825591746539</v>
      </c>
      <c r="AI180" s="484">
        <f t="shared" ca="1" si="26"/>
        <v>41.259316310176466</v>
      </c>
      <c r="AJ180" s="485">
        <f t="shared" ca="1" si="27"/>
        <v>44.183051006967411</v>
      </c>
      <c r="AK180" s="627">
        <f t="shared" ca="1" si="30"/>
        <v>41.28370413243443</v>
      </c>
      <c r="AL180" s="482"/>
    </row>
    <row r="181" spans="27:38" x14ac:dyDescent="0.2">
      <c r="AA181" s="483">
        <f t="shared" ca="1" si="28"/>
        <v>6</v>
      </c>
      <c r="AB181" s="484">
        <f t="shared" ca="1" si="21"/>
        <v>1.0396976224741601</v>
      </c>
      <c r="AC181" s="484">
        <f t="shared" ca="1" si="22"/>
        <v>1.3306519999999999</v>
      </c>
      <c r="AD181" s="484">
        <f t="shared" ca="1" si="29"/>
        <v>696</v>
      </c>
      <c r="AE181" s="485">
        <f t="shared" ca="1" si="23"/>
        <v>106.81559999999999</v>
      </c>
      <c r="AF181" s="482"/>
      <c r="AG181" s="483">
        <f t="shared" ca="1" si="24"/>
        <v>28.038938159097835</v>
      </c>
      <c r="AH181" s="484">
        <f t="shared" ca="1" si="25"/>
        <v>78.012769609278791</v>
      </c>
      <c r="AI181" s="484">
        <f t="shared" ca="1" si="26"/>
        <v>59.836698378145073</v>
      </c>
      <c r="AJ181" s="485">
        <f t="shared" ca="1" si="27"/>
        <v>48.268012212997199</v>
      </c>
      <c r="AK181" s="627">
        <f t="shared" ca="1" si="30"/>
        <v>53.539104589879727</v>
      </c>
      <c r="AL181" s="482"/>
    </row>
    <row r="182" spans="27:38" x14ac:dyDescent="0.2">
      <c r="AA182" s="483">
        <f t="shared" ca="1" si="28"/>
        <v>14</v>
      </c>
      <c r="AB182" s="484">
        <f t="shared" ca="1" si="21"/>
        <v>12.795667543366134</v>
      </c>
      <c r="AC182" s="484">
        <f t="shared" ca="1" si="22"/>
        <v>3.1236280000000001</v>
      </c>
      <c r="AD182" s="484">
        <f t="shared" ca="1" si="29"/>
        <v>955</v>
      </c>
      <c r="AE182" s="485">
        <f t="shared" ca="1" si="23"/>
        <v>31.3964</v>
      </c>
      <c r="AF182" s="482"/>
      <c r="AG182" s="483">
        <f t="shared" ca="1" si="24"/>
        <v>30.091361200853399</v>
      </c>
      <c r="AH182" s="484">
        <f t="shared" ca="1" si="25"/>
        <v>42.226237035701672</v>
      </c>
      <c r="AI182" s="484">
        <f t="shared" ca="1" si="26"/>
        <v>31.003853238246265</v>
      </c>
      <c r="AJ182" s="485">
        <f t="shared" ca="1" si="27"/>
        <v>40.138296081656122</v>
      </c>
      <c r="AK182" s="627">
        <f t="shared" ca="1" si="30"/>
        <v>35.864936889114361</v>
      </c>
      <c r="AL182" s="482"/>
    </row>
    <row r="183" spans="27:38" x14ac:dyDescent="0.2">
      <c r="AA183" s="483">
        <f t="shared" ca="1" si="28"/>
        <v>7</v>
      </c>
      <c r="AB183" s="484">
        <f t="shared" ca="1" si="21"/>
        <v>1.6910619505690725</v>
      </c>
      <c r="AC183" s="484">
        <f t="shared" ca="1" si="22"/>
        <v>1.5547739999999999</v>
      </c>
      <c r="AD183" s="484">
        <f t="shared" ca="1" si="29"/>
        <v>558</v>
      </c>
      <c r="AE183" s="485">
        <f t="shared" ca="1" si="23"/>
        <v>97.388199999999998</v>
      </c>
      <c r="AF183" s="482"/>
      <c r="AG183" s="483">
        <f t="shared" ca="1" si="24"/>
        <v>26.945369125266687</v>
      </c>
      <c r="AH183" s="484">
        <f t="shared" ca="1" si="25"/>
        <v>69.194126210744329</v>
      </c>
      <c r="AI183" s="484">
        <f t="shared" ca="1" si="26"/>
        <v>54.403696819778418</v>
      </c>
      <c r="AJ183" s="485">
        <f t="shared" ca="1" si="27"/>
        <v>43.493527424030475</v>
      </c>
      <c r="AK183" s="627">
        <f t="shared" ca="1" si="30"/>
        <v>48.509179894954976</v>
      </c>
      <c r="AL183" s="482"/>
    </row>
    <row r="184" spans="27:38" x14ac:dyDescent="0.2">
      <c r="AA184" s="483">
        <f t="shared" ca="1" si="28"/>
        <v>9</v>
      </c>
      <c r="AB184" s="484">
        <f t="shared" ca="1" si="21"/>
        <v>3.6293567322283229</v>
      </c>
      <c r="AC184" s="484">
        <f t="shared" ca="1" si="22"/>
        <v>2.003018</v>
      </c>
      <c r="AD184" s="484">
        <f t="shared" ca="1" si="29"/>
        <v>286</v>
      </c>
      <c r="AE184" s="485">
        <f t="shared" ca="1" si="23"/>
        <v>78.533399999999986</v>
      </c>
      <c r="AF184" s="482"/>
      <c r="AG184" s="483">
        <f t="shared" ca="1" si="24"/>
        <v>24.789928710758915</v>
      </c>
      <c r="AH184" s="484">
        <f t="shared" ca="1" si="25"/>
        <v>56.455777111518657</v>
      </c>
      <c r="AI184" s="484">
        <f t="shared" ca="1" si="26"/>
        <v>43.580631831664419</v>
      </c>
      <c r="AJ184" s="485">
        <f t="shared" ca="1" si="27"/>
        <v>33.221149128008562</v>
      </c>
      <c r="AK184" s="627">
        <f t="shared" ca="1" si="30"/>
        <v>39.511871695487642</v>
      </c>
      <c r="AL184" s="482"/>
    </row>
    <row r="185" spans="27:38" x14ac:dyDescent="0.2">
      <c r="AA185" s="483">
        <f t="shared" ca="1" si="28"/>
        <v>14</v>
      </c>
      <c r="AB185" s="484">
        <f t="shared" ca="1" si="21"/>
        <v>12.795667543366134</v>
      </c>
      <c r="AC185" s="484">
        <f t="shared" ca="1" si="22"/>
        <v>3.1236280000000001</v>
      </c>
      <c r="AD185" s="484">
        <f t="shared" ca="1" si="29"/>
        <v>360</v>
      </c>
      <c r="AE185" s="485">
        <f t="shared" ca="1" si="23"/>
        <v>31.3964</v>
      </c>
      <c r="AF185" s="482"/>
      <c r="AG185" s="483">
        <f t="shared" ca="1" si="24"/>
        <v>25.376335294117649</v>
      </c>
      <c r="AH185" s="484">
        <f t="shared" ca="1" si="25"/>
        <v>40.576326615479118</v>
      </c>
      <c r="AI185" s="484">
        <f t="shared" ca="1" si="26"/>
        <v>24.616806606121912</v>
      </c>
      <c r="AJ185" s="485">
        <f t="shared" ca="1" si="27"/>
        <v>23.250887081656114</v>
      </c>
      <c r="AK185" s="627">
        <f t="shared" ca="1" si="30"/>
        <v>28.4550888993437</v>
      </c>
      <c r="AL185" s="482"/>
    </row>
    <row r="186" spans="27:38" x14ac:dyDescent="0.2">
      <c r="AA186" s="483">
        <f t="shared" ca="1" si="28"/>
        <v>8</v>
      </c>
      <c r="AB186" s="484">
        <f t="shared" ca="1" si="21"/>
        <v>2.5487599750311212</v>
      </c>
      <c r="AC186" s="484">
        <f t="shared" ca="1" si="22"/>
        <v>1.7788959999999998</v>
      </c>
      <c r="AD186" s="484">
        <f t="shared" ca="1" si="29"/>
        <v>541</v>
      </c>
      <c r="AE186" s="485">
        <f t="shared" ca="1" si="23"/>
        <v>87.960799999999992</v>
      </c>
      <c r="AF186" s="482"/>
      <c r="AG186" s="483">
        <f t="shared" ca="1" si="24"/>
        <v>26.810654099359951</v>
      </c>
      <c r="AH186" s="484">
        <f t="shared" ca="1" si="25"/>
        <v>62.932876876541329</v>
      </c>
      <c r="AI186" s="484">
        <f t="shared" ca="1" si="26"/>
        <v>50.269573652146292</v>
      </c>
      <c r="AJ186" s="485">
        <f t="shared" ca="1" si="27"/>
        <v>41.881580817887752</v>
      </c>
      <c r="AK186" s="627">
        <f t="shared" ca="1" si="30"/>
        <v>45.473671361483838</v>
      </c>
      <c r="AL186" s="482"/>
    </row>
    <row r="187" spans="27:38" x14ac:dyDescent="0.2">
      <c r="AA187" s="483">
        <f t="shared" ca="1" si="28"/>
        <v>16</v>
      </c>
      <c r="AB187" s="484">
        <f t="shared" ca="1" si="21"/>
        <v>18.379198818405975</v>
      </c>
      <c r="AC187" s="484">
        <f t="shared" ca="1" si="22"/>
        <v>3.5718719999999999</v>
      </c>
      <c r="AD187" s="484">
        <f t="shared" ca="1" si="29"/>
        <v>280</v>
      </c>
      <c r="AE187" s="485">
        <f t="shared" ca="1" si="23"/>
        <v>12.541599999999988</v>
      </c>
      <c r="AF187" s="482"/>
      <c r="AG187" s="483">
        <f t="shared" ca="1" si="24"/>
        <v>24.742382231027126</v>
      </c>
      <c r="AH187" s="484">
        <f t="shared" ca="1" si="25"/>
        <v>36.238366480385842</v>
      </c>
      <c r="AI187" s="484">
        <f t="shared" ca="1" si="26"/>
        <v>15.854771791735441</v>
      </c>
      <c r="AJ187" s="485">
        <f t="shared" ca="1" si="27"/>
        <v>13.627705868391045</v>
      </c>
      <c r="AK187" s="627">
        <f t="shared" ca="1" si="30"/>
        <v>22.615806592884866</v>
      </c>
      <c r="AL187" s="482"/>
    </row>
    <row r="188" spans="27:38" x14ac:dyDescent="0.2">
      <c r="AA188" s="483">
        <f t="shared" ca="1" si="28"/>
        <v>14</v>
      </c>
      <c r="AB188" s="484">
        <f t="shared" ca="1" si="21"/>
        <v>12.795667543366134</v>
      </c>
      <c r="AC188" s="484">
        <f t="shared" ca="1" si="22"/>
        <v>3.1236280000000001</v>
      </c>
      <c r="AD188" s="484">
        <f t="shared" ca="1" si="29"/>
        <v>520</v>
      </c>
      <c r="AE188" s="485">
        <f t="shared" ca="1" si="23"/>
        <v>31.3964</v>
      </c>
      <c r="AF188" s="482"/>
      <c r="AG188" s="483">
        <f t="shared" ca="1" si="24"/>
        <v>26.644241420298691</v>
      </c>
      <c r="AH188" s="484">
        <f t="shared" ca="1" si="25"/>
        <v>41.007191426664086</v>
      </c>
      <c r="AI188" s="484">
        <f t="shared" ca="1" si="26"/>
        <v>26.334331750894847</v>
      </c>
      <c r="AJ188" s="485">
        <f t="shared" ca="1" si="27"/>
        <v>27.792039081656114</v>
      </c>
      <c r="AK188" s="627">
        <f t="shared" ca="1" si="30"/>
        <v>30.444450919878435</v>
      </c>
      <c r="AL188" s="482"/>
    </row>
    <row r="189" spans="27:38" x14ac:dyDescent="0.2">
      <c r="AA189" s="483">
        <f t="shared" ca="1" si="28"/>
        <v>13</v>
      </c>
      <c r="AB189" s="484">
        <f t="shared" ca="1" si="21"/>
        <v>10.42900695605948</v>
      </c>
      <c r="AC189" s="484">
        <f t="shared" ca="1" si="22"/>
        <v>2.8995060000000001</v>
      </c>
      <c r="AD189" s="484">
        <f t="shared" ca="1" si="29"/>
        <v>338</v>
      </c>
      <c r="AE189" s="485">
        <f t="shared" ca="1" si="23"/>
        <v>40.823799999999991</v>
      </c>
      <c r="AF189" s="482"/>
      <c r="AG189" s="483">
        <f t="shared" ca="1" si="24"/>
        <v>25.201998201767754</v>
      </c>
      <c r="AH189" s="484">
        <f t="shared" ca="1" si="25"/>
        <v>42.973457290728568</v>
      </c>
      <c r="AI189" s="484">
        <f t="shared" ca="1" si="26"/>
        <v>28.332283019715632</v>
      </c>
      <c r="AJ189" s="485">
        <f t="shared" ca="1" si="27"/>
        <v>25.742986876039907</v>
      </c>
      <c r="AK189" s="627">
        <f t="shared" ca="1" si="30"/>
        <v>30.562681347062966</v>
      </c>
      <c r="AL189" s="482"/>
    </row>
    <row r="190" spans="27:38" x14ac:dyDescent="0.2">
      <c r="AA190" s="483">
        <f t="shared" ca="1" si="28"/>
        <v>16</v>
      </c>
      <c r="AB190" s="484">
        <f t="shared" ca="1" si="21"/>
        <v>18.379198818405975</v>
      </c>
      <c r="AC190" s="484">
        <f t="shared" ca="1" si="22"/>
        <v>3.5718719999999999</v>
      </c>
      <c r="AD190" s="484">
        <f t="shared" ca="1" si="29"/>
        <v>628</v>
      </c>
      <c r="AE190" s="485">
        <f t="shared" ca="1" si="23"/>
        <v>12.541599999999988</v>
      </c>
      <c r="AF190" s="482"/>
      <c r="AG190" s="483">
        <f t="shared" ca="1" si="24"/>
        <v>27.500078055470894</v>
      </c>
      <c r="AH190" s="484">
        <f t="shared" ca="1" si="25"/>
        <v>36.993389641327163</v>
      </c>
      <c r="AI190" s="484">
        <f t="shared" ca="1" si="26"/>
        <v>19.590388981616574</v>
      </c>
      <c r="AJ190" s="485">
        <f t="shared" ca="1" si="27"/>
        <v>23.504711468391044</v>
      </c>
      <c r="AK190" s="627">
        <f t="shared" ca="1" si="30"/>
        <v>26.897142036701418</v>
      </c>
      <c r="AL190" s="482"/>
    </row>
    <row r="191" spans="27:38" x14ac:dyDescent="0.2">
      <c r="AA191" s="483">
        <f t="shared" ca="1" si="28"/>
        <v>11</v>
      </c>
      <c r="AB191" s="484">
        <f t="shared" ca="1" si="21"/>
        <v>6.5126594683761416</v>
      </c>
      <c r="AC191" s="484">
        <f t="shared" ca="1" si="22"/>
        <v>2.4512619999999998</v>
      </c>
      <c r="AD191" s="484">
        <f t="shared" ca="1" si="29"/>
        <v>111</v>
      </c>
      <c r="AE191" s="485">
        <f t="shared" ca="1" si="23"/>
        <v>59.678599999999989</v>
      </c>
      <c r="AF191" s="482"/>
      <c r="AG191" s="483">
        <f t="shared" ca="1" si="24"/>
        <v>23.403156385248401</v>
      </c>
      <c r="AH191" s="484">
        <f t="shared" ca="1" si="25"/>
        <v>48.037941308609398</v>
      </c>
      <c r="AI191" s="484">
        <f t="shared" ca="1" si="26"/>
        <v>33.798816462569029</v>
      </c>
      <c r="AJ191" s="485">
        <f t="shared" ca="1" si="27"/>
        <v>24.457422006967398</v>
      </c>
      <c r="AK191" s="627">
        <f t="shared" ca="1" si="30"/>
        <v>32.424334040848557</v>
      </c>
      <c r="AL191" s="482"/>
    </row>
    <row r="192" spans="27:38" x14ac:dyDescent="0.2">
      <c r="AA192" s="483">
        <f t="shared" ca="1" si="28"/>
        <v>9</v>
      </c>
      <c r="AB192" s="484">
        <f t="shared" ca="1" si="21"/>
        <v>3.6293567322283229</v>
      </c>
      <c r="AC192" s="484">
        <f t="shared" ca="1" si="22"/>
        <v>2.003018</v>
      </c>
      <c r="AD192" s="484">
        <f t="shared" ca="1" si="29"/>
        <v>908</v>
      </c>
      <c r="AE192" s="485">
        <f t="shared" ca="1" si="23"/>
        <v>78.533399999999986</v>
      </c>
      <c r="AF192" s="482"/>
      <c r="AG192" s="483">
        <f t="shared" ca="1" si="24"/>
        <v>29.718913776287717</v>
      </c>
      <c r="AH192" s="484">
        <f t="shared" ca="1" si="25"/>
        <v>59.857555702205197</v>
      </c>
      <c r="AI192" s="484">
        <f t="shared" ca="1" si="26"/>
        <v>50.257510831969213</v>
      </c>
      <c r="AJ192" s="485">
        <f t="shared" ca="1" si="27"/>
        <v>50.874877528008568</v>
      </c>
      <c r="AK192" s="627">
        <f t="shared" ca="1" si="30"/>
        <v>47.677214459617673</v>
      </c>
      <c r="AL192" s="482"/>
    </row>
    <row r="193" spans="27:38" x14ac:dyDescent="0.2">
      <c r="AA193" s="483">
        <f t="shared" ca="1" si="28"/>
        <v>11</v>
      </c>
      <c r="AB193" s="484">
        <f t="shared" ca="1" si="21"/>
        <v>6.5126594683761416</v>
      </c>
      <c r="AC193" s="484">
        <f t="shared" ca="1" si="22"/>
        <v>2.4512619999999998</v>
      </c>
      <c r="AD193" s="484">
        <f t="shared" ca="1" si="29"/>
        <v>680</v>
      </c>
      <c r="AE193" s="485">
        <f t="shared" ca="1" si="23"/>
        <v>59.678599999999989</v>
      </c>
      <c r="AF193" s="482"/>
      <c r="AG193" s="483">
        <f t="shared" ca="1" si="24"/>
        <v>27.91214754647973</v>
      </c>
      <c r="AH193" s="484">
        <f t="shared" ca="1" si="25"/>
        <v>50.261348900245657</v>
      </c>
      <c r="AI193" s="484">
        <f t="shared" ca="1" si="26"/>
        <v>39.906765258667775</v>
      </c>
      <c r="AJ193" s="485">
        <f t="shared" ca="1" si="27"/>
        <v>40.606893806967406</v>
      </c>
      <c r="AK193" s="627">
        <f t="shared" ca="1" si="30"/>
        <v>39.67178887809014</v>
      </c>
      <c r="AL193" s="482"/>
    </row>
    <row r="194" spans="27:38" x14ac:dyDescent="0.2">
      <c r="AA194" s="483">
        <f t="shared" ca="1" si="28"/>
        <v>10</v>
      </c>
      <c r="AB194" s="484">
        <f t="shared" ca="1" si="21"/>
        <v>4.9467360247874907</v>
      </c>
      <c r="AC194" s="484">
        <f t="shared" ca="1" si="22"/>
        <v>2.2271399999999999</v>
      </c>
      <c r="AD194" s="484">
        <f t="shared" ca="1" si="29"/>
        <v>444</v>
      </c>
      <c r="AE194" s="485">
        <f t="shared" ca="1" si="23"/>
        <v>69.105999999999995</v>
      </c>
      <c r="AF194" s="482"/>
      <c r="AG194" s="483">
        <f t="shared" ca="1" si="24"/>
        <v>26.041986010362695</v>
      </c>
      <c r="AH194" s="484">
        <f t="shared" ca="1" si="25"/>
        <v>53.000884890833184</v>
      </c>
      <c r="AI194" s="484">
        <f t="shared" ca="1" si="26"/>
        <v>41.325051791127699</v>
      </c>
      <c r="AJ194" s="485">
        <f t="shared" ca="1" si="27"/>
        <v>35.970761837856472</v>
      </c>
      <c r="AK194" s="627">
        <f t="shared" ca="1" si="30"/>
        <v>39.084671132545012</v>
      </c>
      <c r="AL194" s="482"/>
    </row>
    <row r="195" spans="27:38" x14ac:dyDescent="0.2">
      <c r="AA195" s="483">
        <f t="shared" ca="1" si="28"/>
        <v>14</v>
      </c>
      <c r="AB195" s="484">
        <f t="shared" ca="1" si="21"/>
        <v>12.795667543366134</v>
      </c>
      <c r="AC195" s="484">
        <f t="shared" ca="1" si="22"/>
        <v>3.1236280000000001</v>
      </c>
      <c r="AD195" s="484">
        <f t="shared" ca="1" si="29"/>
        <v>491</v>
      </c>
      <c r="AE195" s="485">
        <f t="shared" ca="1" si="23"/>
        <v>31.3964</v>
      </c>
      <c r="AF195" s="482"/>
      <c r="AG195" s="483">
        <f t="shared" ca="1" si="24"/>
        <v>26.414433434928377</v>
      </c>
      <c r="AH195" s="484">
        <f t="shared" ca="1" si="25"/>
        <v>40.928419532507739</v>
      </c>
      <c r="AI195" s="484">
        <f t="shared" ca="1" si="26"/>
        <v>26.023030318404754</v>
      </c>
      <c r="AJ195" s="485">
        <f t="shared" ca="1" si="27"/>
        <v>26.968955281656111</v>
      </c>
      <c r="AK195" s="627">
        <f t="shared" ca="1" si="30"/>
        <v>30.083709641874243</v>
      </c>
      <c r="AL195" s="482"/>
    </row>
    <row r="196" spans="27:38" x14ac:dyDescent="0.2">
      <c r="AA196" s="483">
        <f t="shared" ca="1" si="28"/>
        <v>6</v>
      </c>
      <c r="AB196" s="484">
        <f t="shared" ca="1" si="21"/>
        <v>1.0396976224741601</v>
      </c>
      <c r="AC196" s="484">
        <f t="shared" ca="1" si="22"/>
        <v>1.3306519999999999</v>
      </c>
      <c r="AD196" s="484">
        <f t="shared" ca="1" si="29"/>
        <v>913</v>
      </c>
      <c r="AE196" s="485">
        <f t="shared" ca="1" si="23"/>
        <v>106.81559999999999</v>
      </c>
      <c r="AF196" s="482"/>
      <c r="AG196" s="483">
        <f t="shared" ca="1" si="24"/>
        <v>29.758535842730875</v>
      </c>
      <c r="AH196" s="484">
        <f t="shared" ca="1" si="25"/>
        <v>80.21034667693101</v>
      </c>
      <c r="AI196" s="484">
        <f t="shared" ca="1" si="26"/>
        <v>62.166091855743367</v>
      </c>
      <c r="AJ196" s="485">
        <f t="shared" ca="1" si="27"/>
        <v>54.426949612997198</v>
      </c>
      <c r="AK196" s="627">
        <f t="shared" ca="1" si="30"/>
        <v>56.64048099710061</v>
      </c>
      <c r="AL196" s="482"/>
    </row>
    <row r="197" spans="27:38" x14ac:dyDescent="0.2">
      <c r="AA197" s="483">
        <f t="shared" ca="1" si="28"/>
        <v>16</v>
      </c>
      <c r="AB197" s="484">
        <f t="shared" ca="1" si="21"/>
        <v>18.379198818405975</v>
      </c>
      <c r="AC197" s="484">
        <f t="shared" ca="1" si="22"/>
        <v>3.5718719999999999</v>
      </c>
      <c r="AD197" s="484">
        <f t="shared" ca="1" si="29"/>
        <v>799</v>
      </c>
      <c r="AE197" s="485">
        <f t="shared" ca="1" si="23"/>
        <v>12.541599999999988</v>
      </c>
      <c r="AF197" s="482"/>
      <c r="AG197" s="483">
        <f t="shared" ca="1" si="24"/>
        <v>28.85515272782688</v>
      </c>
      <c r="AH197" s="484">
        <f t="shared" ca="1" si="25"/>
        <v>37.376039723169868</v>
      </c>
      <c r="AI197" s="484">
        <f t="shared" ca="1" si="26"/>
        <v>21.425993980092649</v>
      </c>
      <c r="AJ197" s="485">
        <f t="shared" ca="1" si="27"/>
        <v>28.35806766839104</v>
      </c>
      <c r="AK197" s="627">
        <f t="shared" ca="1" si="30"/>
        <v>29.003813524870111</v>
      </c>
      <c r="AL197" s="482"/>
    </row>
    <row r="198" spans="27:38" x14ac:dyDescent="0.2">
      <c r="AA198" s="483">
        <f t="shared" ca="1" si="28"/>
        <v>7</v>
      </c>
      <c r="AB198" s="484">
        <f t="shared" ca="1" si="21"/>
        <v>1.6910619505690725</v>
      </c>
      <c r="AC198" s="484">
        <f t="shared" ca="1" si="22"/>
        <v>1.5547739999999999</v>
      </c>
      <c r="AD198" s="484">
        <f t="shared" ca="1" si="29"/>
        <v>572</v>
      </c>
      <c r="AE198" s="485">
        <f t="shared" ca="1" si="23"/>
        <v>97.388199999999998</v>
      </c>
      <c r="AF198" s="482"/>
      <c r="AG198" s="483">
        <f t="shared" ca="1" si="24"/>
        <v>27.056310911307527</v>
      </c>
      <c r="AH198" s="484">
        <f t="shared" ca="1" si="25"/>
        <v>69.302777828813603</v>
      </c>
      <c r="AI198" s="484">
        <f t="shared" ca="1" si="26"/>
        <v>54.553980269946052</v>
      </c>
      <c r="AJ198" s="485">
        <f t="shared" ca="1" si="27"/>
        <v>43.890878224030473</v>
      </c>
      <c r="AK198" s="627">
        <f t="shared" ca="1" si="30"/>
        <v>48.700986808524419</v>
      </c>
      <c r="AL198" s="482"/>
    </row>
    <row r="199" spans="27:38" x14ac:dyDescent="0.2">
      <c r="AA199" s="483">
        <f t="shared" ca="1" si="28"/>
        <v>14</v>
      </c>
      <c r="AB199" s="484">
        <f t="shared" ca="1" si="21"/>
        <v>12.795667543366134</v>
      </c>
      <c r="AC199" s="484">
        <f t="shared" ca="1" si="22"/>
        <v>3.1236280000000001</v>
      </c>
      <c r="AD199" s="484">
        <f t="shared" ca="1" si="29"/>
        <v>892</v>
      </c>
      <c r="AE199" s="485">
        <f t="shared" ca="1" si="23"/>
        <v>31.3964</v>
      </c>
      <c r="AF199" s="482"/>
      <c r="AG199" s="483">
        <f t="shared" ca="1" si="24"/>
        <v>29.592123163669612</v>
      </c>
      <c r="AH199" s="484">
        <f t="shared" ca="1" si="25"/>
        <v>42.045216512976403</v>
      </c>
      <c r="AI199" s="484">
        <f t="shared" ca="1" si="26"/>
        <v>30.327577712491919</v>
      </c>
      <c r="AJ199" s="485">
        <f t="shared" ca="1" si="27"/>
        <v>38.350217481656124</v>
      </c>
      <c r="AK199" s="627">
        <f t="shared" ca="1" si="30"/>
        <v>35.078783717698514</v>
      </c>
      <c r="AL199" s="482"/>
    </row>
    <row r="200" spans="27:38" x14ac:dyDescent="0.2">
      <c r="AA200" s="483">
        <f t="shared" ca="1" si="28"/>
        <v>6</v>
      </c>
      <c r="AB200" s="484">
        <f t="shared" ca="1" si="21"/>
        <v>1.0396976224741601</v>
      </c>
      <c r="AC200" s="484">
        <f t="shared" ca="1" si="22"/>
        <v>1.3306519999999999</v>
      </c>
      <c r="AD200" s="484">
        <f t="shared" ca="1" si="29"/>
        <v>881</v>
      </c>
      <c r="AE200" s="485">
        <f t="shared" ca="1" si="23"/>
        <v>106.81559999999999</v>
      </c>
      <c r="AF200" s="482"/>
      <c r="AG200" s="483">
        <f t="shared" ca="1" si="24"/>
        <v>29.504954617494665</v>
      </c>
      <c r="AH200" s="484">
        <f t="shared" ca="1" si="25"/>
        <v>79.878529606817381</v>
      </c>
      <c r="AI200" s="484">
        <f t="shared" ca="1" si="26"/>
        <v>61.822586826788772</v>
      </c>
      <c r="AJ200" s="485">
        <f t="shared" ca="1" si="27"/>
        <v>53.518719212997205</v>
      </c>
      <c r="AK200" s="627">
        <f t="shared" ca="1" si="30"/>
        <v>56.181197566024508</v>
      </c>
      <c r="AL200" s="482"/>
    </row>
    <row r="201" spans="27:38" x14ac:dyDescent="0.2">
      <c r="AA201" s="483">
        <f t="shared" ca="1" si="28"/>
        <v>13</v>
      </c>
      <c r="AB201" s="484">
        <f t="shared" ca="1" si="21"/>
        <v>10.42900695605948</v>
      </c>
      <c r="AC201" s="484">
        <f t="shared" ca="1" si="22"/>
        <v>2.8995060000000001</v>
      </c>
      <c r="AD201" s="484">
        <f t="shared" ca="1" si="29"/>
        <v>417</v>
      </c>
      <c r="AE201" s="485">
        <f t="shared" ca="1" si="23"/>
        <v>40.823799999999991</v>
      </c>
      <c r="AF201" s="482"/>
      <c r="AG201" s="483">
        <f t="shared" ca="1" si="24"/>
        <v>25.828026851569643</v>
      </c>
      <c r="AH201" s="484">
        <f t="shared" ca="1" si="25"/>
        <v>43.210872596264871</v>
      </c>
      <c r="AI201" s="484">
        <f t="shared" ca="1" si="26"/>
        <v>29.180311059947272</v>
      </c>
      <c r="AJ201" s="485">
        <f t="shared" ca="1" si="27"/>
        <v>27.985180676039914</v>
      </c>
      <c r="AK201" s="627">
        <f t="shared" ca="1" si="30"/>
        <v>31.551097795955425</v>
      </c>
      <c r="AL201" s="482"/>
    </row>
    <row r="202" spans="27:38" x14ac:dyDescent="0.2">
      <c r="AA202" s="483">
        <f t="shared" ca="1" si="28"/>
        <v>13</v>
      </c>
      <c r="AB202" s="484">
        <f t="shared" ca="1" si="21"/>
        <v>10.42900695605948</v>
      </c>
      <c r="AC202" s="484">
        <f t="shared" ca="1" si="22"/>
        <v>2.8995060000000001</v>
      </c>
      <c r="AD202" s="484">
        <f t="shared" ca="1" si="29"/>
        <v>848</v>
      </c>
      <c r="AE202" s="485">
        <f t="shared" ca="1" si="23"/>
        <v>40.823799999999991</v>
      </c>
      <c r="AF202" s="482"/>
      <c r="AG202" s="483">
        <f t="shared" ca="1" si="24"/>
        <v>29.243448978969827</v>
      </c>
      <c r="AH202" s="484">
        <f t="shared" ca="1" si="25"/>
        <v>44.553770706917746</v>
      </c>
      <c r="AI202" s="484">
        <f t="shared" ca="1" si="26"/>
        <v>33.806894418679363</v>
      </c>
      <c r="AJ202" s="485">
        <f t="shared" ca="1" si="27"/>
        <v>40.217908876039921</v>
      </c>
      <c r="AK202" s="627">
        <f t="shared" ca="1" si="30"/>
        <v>36.955505745151711</v>
      </c>
      <c r="AL202" s="482"/>
    </row>
    <row r="203" spans="27:38" x14ac:dyDescent="0.2">
      <c r="AA203" s="483">
        <f t="shared" ca="1" si="28"/>
        <v>7</v>
      </c>
      <c r="AB203" s="484">
        <f t="shared" ca="1" si="21"/>
        <v>1.6910619505690725</v>
      </c>
      <c r="AC203" s="484">
        <f t="shared" ca="1" si="22"/>
        <v>1.5547739999999999</v>
      </c>
      <c r="AD203" s="484">
        <f t="shared" ca="1" si="29"/>
        <v>678</v>
      </c>
      <c r="AE203" s="485">
        <f t="shared" ca="1" si="23"/>
        <v>97.388199999999998</v>
      </c>
      <c r="AF203" s="482"/>
      <c r="AG203" s="483">
        <f t="shared" ca="1" si="24"/>
        <v>27.896298719902468</v>
      </c>
      <c r="AH203" s="484">
        <f t="shared" ca="1" si="25"/>
        <v>70.136631222645121</v>
      </c>
      <c r="AI203" s="484">
        <f t="shared" ca="1" si="26"/>
        <v>55.691840678358112</v>
      </c>
      <c r="AJ203" s="485">
        <f t="shared" ca="1" si="27"/>
        <v>46.899391424030476</v>
      </c>
      <c r="AK203" s="627">
        <f t="shared" ca="1" si="30"/>
        <v>50.156040511234046</v>
      </c>
      <c r="AL203" s="482"/>
    </row>
    <row r="204" spans="27:38" x14ac:dyDescent="0.2">
      <c r="AA204" s="483">
        <f t="shared" ca="1" si="28"/>
        <v>11</v>
      </c>
      <c r="AB204" s="484">
        <f t="shared" ca="1" si="21"/>
        <v>6.5126594683761416</v>
      </c>
      <c r="AC204" s="484">
        <f t="shared" ca="1" si="22"/>
        <v>2.4512619999999998</v>
      </c>
      <c r="AD204" s="484">
        <f t="shared" ca="1" si="29"/>
        <v>954</v>
      </c>
      <c r="AE204" s="485">
        <f t="shared" ca="1" si="23"/>
        <v>59.678599999999989</v>
      </c>
      <c r="AF204" s="482"/>
      <c r="AG204" s="483">
        <f t="shared" ca="1" si="24"/>
        <v>30.083436787564764</v>
      </c>
      <c r="AH204" s="484">
        <f t="shared" ca="1" si="25"/>
        <v>51.407115692443568</v>
      </c>
      <c r="AI204" s="484">
        <f t="shared" ca="1" si="26"/>
        <v>42.84802706909143</v>
      </c>
      <c r="AJ204" s="485">
        <f t="shared" ca="1" si="27"/>
        <v>48.383616606967408</v>
      </c>
      <c r="AK204" s="627">
        <f t="shared" ca="1" si="30"/>
        <v>43.180549039016796</v>
      </c>
      <c r="AL204" s="482"/>
    </row>
    <row r="205" spans="27:38" x14ac:dyDescent="0.2">
      <c r="AA205" s="483">
        <f t="shared" ca="1" si="28"/>
        <v>15</v>
      </c>
      <c r="AB205" s="484">
        <f t="shared" ca="1" si="21"/>
        <v>15.443787118411857</v>
      </c>
      <c r="AC205" s="484">
        <f t="shared" ca="1" si="22"/>
        <v>3.34775</v>
      </c>
      <c r="AD205" s="484">
        <f t="shared" ca="1" si="29"/>
        <v>770</v>
      </c>
      <c r="AE205" s="485">
        <f t="shared" ca="1" si="23"/>
        <v>21.968999999999994</v>
      </c>
      <c r="AF205" s="482"/>
      <c r="AG205" s="483">
        <f t="shared" ca="1" si="24"/>
        <v>28.625344742456569</v>
      </c>
      <c r="AH205" s="484">
        <f t="shared" ca="1" si="25"/>
        <v>39.382942740182585</v>
      </c>
      <c r="AI205" s="484">
        <f t="shared" ca="1" si="26"/>
        <v>25.066328668602559</v>
      </c>
      <c r="AJ205" s="485">
        <f t="shared" ca="1" si="27"/>
        <v>31.400445044356619</v>
      </c>
      <c r="AK205" s="627">
        <f t="shared" ca="1" si="30"/>
        <v>31.118765298899582</v>
      </c>
      <c r="AL205" s="482"/>
    </row>
    <row r="206" spans="27:38" x14ac:dyDescent="0.2">
      <c r="AA206" s="483">
        <f t="shared" ca="1" si="28"/>
        <v>6</v>
      </c>
      <c r="AB206" s="484">
        <f t="shared" ca="1" si="21"/>
        <v>1.0396976224741601</v>
      </c>
      <c r="AC206" s="484">
        <f t="shared" ca="1" si="22"/>
        <v>1.3306519999999999</v>
      </c>
      <c r="AD206" s="484">
        <f t="shared" ca="1" si="29"/>
        <v>838</v>
      </c>
      <c r="AE206" s="485">
        <f t="shared" ca="1" si="23"/>
        <v>106.81559999999999</v>
      </c>
      <c r="AF206" s="482"/>
      <c r="AG206" s="483">
        <f t="shared" ca="1" si="24"/>
        <v>29.164204846083511</v>
      </c>
      <c r="AH206" s="484">
        <f t="shared" ca="1" si="25"/>
        <v>79.436949635339388</v>
      </c>
      <c r="AI206" s="484">
        <f t="shared" ca="1" si="26"/>
        <v>61.361001944131061</v>
      </c>
      <c r="AJ206" s="485">
        <f t="shared" ca="1" si="27"/>
        <v>52.298284612997193</v>
      </c>
      <c r="AK206" s="627">
        <f t="shared" ca="1" si="30"/>
        <v>55.565110259637791</v>
      </c>
      <c r="AL206" s="482"/>
    </row>
    <row r="207" spans="27:38" x14ac:dyDescent="0.2">
      <c r="AA207" s="483">
        <f t="shared" ca="1" si="28"/>
        <v>12</v>
      </c>
      <c r="AB207" s="484">
        <f t="shared" ca="1" si="21"/>
        <v>8.3371886632508829</v>
      </c>
      <c r="AC207" s="484">
        <f t="shared" ca="1" si="22"/>
        <v>2.6753840000000002</v>
      </c>
      <c r="AD207" s="484">
        <f t="shared" ca="1" si="29"/>
        <v>921</v>
      </c>
      <c r="AE207" s="485">
        <f t="shared" ca="1" si="23"/>
        <v>50.251199999999983</v>
      </c>
      <c r="AF207" s="482"/>
      <c r="AG207" s="483">
        <f t="shared" ca="1" si="24"/>
        <v>29.821931149039926</v>
      </c>
      <c r="AH207" s="484">
        <f t="shared" ca="1" si="25"/>
        <v>47.809588201471215</v>
      </c>
      <c r="AI207" s="484">
        <f t="shared" ca="1" si="26"/>
        <v>38.542151386982006</v>
      </c>
      <c r="AJ207" s="485">
        <f t="shared" ca="1" si="27"/>
        <v>45.044394939483567</v>
      </c>
      <c r="AK207" s="627">
        <f t="shared" ca="1" si="30"/>
        <v>40.30451641924418</v>
      </c>
      <c r="AL207" s="482"/>
    </row>
    <row r="208" spans="27:38" x14ac:dyDescent="0.2">
      <c r="AA208" s="483">
        <f t="shared" ca="1" si="28"/>
        <v>14</v>
      </c>
      <c r="AB208" s="484">
        <f t="shared" ca="1" si="21"/>
        <v>12.795667543366134</v>
      </c>
      <c r="AC208" s="484">
        <f t="shared" ca="1" si="22"/>
        <v>3.1236280000000001</v>
      </c>
      <c r="AD208" s="484">
        <f t="shared" ca="1" si="29"/>
        <v>660</v>
      </c>
      <c r="AE208" s="485">
        <f t="shared" ca="1" si="23"/>
        <v>31.3964</v>
      </c>
      <c r="AF208" s="482"/>
      <c r="AG208" s="483">
        <f t="shared" ca="1" si="24"/>
        <v>27.753659280707101</v>
      </c>
      <c r="AH208" s="484">
        <f t="shared" ca="1" si="25"/>
        <v>41.391774707018946</v>
      </c>
      <c r="AI208" s="484">
        <f t="shared" ca="1" si="26"/>
        <v>27.837166252571169</v>
      </c>
      <c r="AJ208" s="485">
        <f t="shared" ca="1" si="27"/>
        <v>31.765547081656113</v>
      </c>
      <c r="AK208" s="627">
        <f t="shared" ca="1" si="30"/>
        <v>32.187036830488331</v>
      </c>
      <c r="AL208" s="482"/>
    </row>
    <row r="209" spans="27:38" x14ac:dyDescent="0.2">
      <c r="AA209" s="483">
        <f t="shared" ca="1" si="28"/>
        <v>8</v>
      </c>
      <c r="AB209" s="484">
        <f t="shared" ca="1" si="21"/>
        <v>2.5487599750311212</v>
      </c>
      <c r="AC209" s="484">
        <f t="shared" ca="1" si="22"/>
        <v>1.7788959999999998</v>
      </c>
      <c r="AD209" s="484">
        <f t="shared" ca="1" si="29"/>
        <v>460</v>
      </c>
      <c r="AE209" s="485">
        <f t="shared" ca="1" si="23"/>
        <v>87.960799999999992</v>
      </c>
      <c r="AF209" s="482"/>
      <c r="AG209" s="483">
        <f t="shared" ca="1" si="24"/>
        <v>26.168776622980797</v>
      </c>
      <c r="AH209" s="484">
        <f t="shared" ca="1" si="25"/>
        <v>62.417932553757602</v>
      </c>
      <c r="AI209" s="484">
        <f t="shared" ca="1" si="26"/>
        <v>49.400076547604996</v>
      </c>
      <c r="AJ209" s="485">
        <f t="shared" ca="1" si="27"/>
        <v>39.582622617887758</v>
      </c>
      <c r="AK209" s="627">
        <f t="shared" ca="1" si="30"/>
        <v>44.392352085557789</v>
      </c>
      <c r="AL209" s="482"/>
    </row>
    <row r="210" spans="27:38" x14ac:dyDescent="0.2">
      <c r="AA210" s="483">
        <f t="shared" ca="1" si="28"/>
        <v>8</v>
      </c>
      <c r="AB210" s="484">
        <f t="shared" ca="1" si="21"/>
        <v>2.5487599750311212</v>
      </c>
      <c r="AC210" s="484">
        <f t="shared" ca="1" si="22"/>
        <v>1.7788959999999998</v>
      </c>
      <c r="AD210" s="484">
        <f t="shared" ca="1" si="29"/>
        <v>754</v>
      </c>
      <c r="AE210" s="485">
        <f t="shared" ca="1" si="23"/>
        <v>87.960799999999992</v>
      </c>
      <c r="AF210" s="482"/>
      <c r="AG210" s="483">
        <f t="shared" ca="1" si="24"/>
        <v>28.498554129838464</v>
      </c>
      <c r="AH210" s="484">
        <f t="shared" ca="1" si="25"/>
        <v>64.328436761303394</v>
      </c>
      <c r="AI210" s="484">
        <f t="shared" ca="1" si="26"/>
        <v>52.55602900112526</v>
      </c>
      <c r="AJ210" s="485">
        <f t="shared" ca="1" si="27"/>
        <v>47.926989417887754</v>
      </c>
      <c r="AK210" s="627">
        <f t="shared" ca="1" si="30"/>
        <v>48.327502327538724</v>
      </c>
      <c r="AL210" s="482"/>
    </row>
    <row r="211" spans="27:38" x14ac:dyDescent="0.2">
      <c r="AA211" s="483">
        <f t="shared" ca="1" si="28"/>
        <v>9</v>
      </c>
      <c r="AB211" s="484">
        <f t="shared" ca="1" si="21"/>
        <v>3.6293567322283229</v>
      </c>
      <c r="AC211" s="484">
        <f t="shared" ca="1" si="22"/>
        <v>2.003018</v>
      </c>
      <c r="AD211" s="484">
        <f t="shared" ca="1" si="29"/>
        <v>188</v>
      </c>
      <c r="AE211" s="485">
        <f t="shared" ca="1" si="23"/>
        <v>78.533399999999986</v>
      </c>
      <c r="AF211" s="482"/>
      <c r="AG211" s="483">
        <f t="shared" ca="1" si="24"/>
        <v>24.013336208473028</v>
      </c>
      <c r="AH211" s="484">
        <f t="shared" ca="1" si="25"/>
        <v>55.954751727796676</v>
      </c>
      <c r="AI211" s="484">
        <f t="shared" ca="1" si="26"/>
        <v>42.528647680491005</v>
      </c>
      <c r="AJ211" s="485">
        <f t="shared" ca="1" si="27"/>
        <v>30.439693528008565</v>
      </c>
      <c r="AK211" s="627">
        <f t="shared" ca="1" si="30"/>
        <v>38.234107286192319</v>
      </c>
      <c r="AL211" s="482"/>
    </row>
    <row r="212" spans="27:38" x14ac:dyDescent="0.2">
      <c r="AA212" s="483">
        <f t="shared" ca="1" si="28"/>
        <v>15</v>
      </c>
      <c r="AB212" s="484">
        <f t="shared" ca="1" si="21"/>
        <v>15.443787118411857</v>
      </c>
      <c r="AC212" s="484">
        <f t="shared" ca="1" si="22"/>
        <v>3.34775</v>
      </c>
      <c r="AD212" s="484">
        <f t="shared" ca="1" si="29"/>
        <v>879</v>
      </c>
      <c r="AE212" s="485">
        <f t="shared" ca="1" si="23"/>
        <v>21.968999999999994</v>
      </c>
      <c r="AF212" s="482"/>
      <c r="AG212" s="483">
        <f t="shared" ca="1" si="24"/>
        <v>29.489105790917403</v>
      </c>
      <c r="AH212" s="484">
        <f t="shared" ca="1" si="25"/>
        <v>39.658466380830916</v>
      </c>
      <c r="AI212" s="484">
        <f t="shared" ca="1" si="26"/>
        <v>26.236392673479116</v>
      </c>
      <c r="AJ212" s="485">
        <f t="shared" ca="1" si="27"/>
        <v>34.49410484435662</v>
      </c>
      <c r="AK212" s="627">
        <f t="shared" ca="1" si="30"/>
        <v>32.469517422396017</v>
      </c>
      <c r="AL212" s="482"/>
    </row>
    <row r="213" spans="27:38" x14ac:dyDescent="0.2">
      <c r="AA213" s="483">
        <f t="shared" ca="1" si="28"/>
        <v>10</v>
      </c>
      <c r="AB213" s="484">
        <f t="shared" ca="1" si="21"/>
        <v>4.9467360247874907</v>
      </c>
      <c r="AC213" s="484">
        <f t="shared" ca="1" si="22"/>
        <v>2.2271399999999999</v>
      </c>
      <c r="AD213" s="484">
        <f t="shared" ca="1" si="29"/>
        <v>806</v>
      </c>
      <c r="AE213" s="485">
        <f t="shared" ca="1" si="23"/>
        <v>69.105999999999995</v>
      </c>
      <c r="AF213" s="482"/>
      <c r="AG213" s="483">
        <f t="shared" ca="1" si="24"/>
        <v>28.910623620847304</v>
      </c>
      <c r="AH213" s="484">
        <f t="shared" ca="1" si="25"/>
        <v>54.699372270142547</v>
      </c>
      <c r="AI213" s="484">
        <f t="shared" ca="1" si="26"/>
        <v>45.210952431176466</v>
      </c>
      <c r="AJ213" s="485">
        <f t="shared" ca="1" si="27"/>
        <v>46.245118237856467</v>
      </c>
      <c r="AK213" s="627">
        <f t="shared" ca="1" si="30"/>
        <v>43.766516640005698</v>
      </c>
      <c r="AL213" s="482"/>
    </row>
    <row r="214" spans="27:38" x14ac:dyDescent="0.2">
      <c r="AA214" s="483">
        <f t="shared" ca="1" si="28"/>
        <v>10</v>
      </c>
      <c r="AB214" s="484">
        <f t="shared" ca="1" si="21"/>
        <v>4.9467360247874907</v>
      </c>
      <c r="AC214" s="484">
        <f t="shared" ca="1" si="22"/>
        <v>2.2271399999999999</v>
      </c>
      <c r="AD214" s="484">
        <f t="shared" ca="1" si="29"/>
        <v>185</v>
      </c>
      <c r="AE214" s="485">
        <f t="shared" ca="1" si="23"/>
        <v>69.105999999999995</v>
      </c>
      <c r="AF214" s="482"/>
      <c r="AG214" s="483">
        <f t="shared" ca="1" si="24"/>
        <v>23.989562968607132</v>
      </c>
      <c r="AH214" s="484">
        <f t="shared" ca="1" si="25"/>
        <v>51.848993569684581</v>
      </c>
      <c r="AI214" s="484">
        <f t="shared" ca="1" si="26"/>
        <v>38.544807963026514</v>
      </c>
      <c r="AJ214" s="485">
        <f t="shared" ca="1" si="27"/>
        <v>28.619772037856464</v>
      </c>
      <c r="AK214" s="627">
        <f t="shared" ca="1" si="30"/>
        <v>35.750784134793676</v>
      </c>
      <c r="AL214" s="482"/>
    </row>
    <row r="215" spans="27:38" x14ac:dyDescent="0.2">
      <c r="AA215" s="483">
        <f t="shared" ca="1" si="28"/>
        <v>6</v>
      </c>
      <c r="AB215" s="484">
        <f t="shared" ca="1" si="21"/>
        <v>1.0396976224741601</v>
      </c>
      <c r="AC215" s="484">
        <f t="shared" ca="1" si="22"/>
        <v>1.3306519999999999</v>
      </c>
      <c r="AD215" s="484">
        <f t="shared" ca="1" si="29"/>
        <v>946</v>
      </c>
      <c r="AE215" s="485">
        <f t="shared" ca="1" si="23"/>
        <v>106.81559999999999</v>
      </c>
      <c r="AF215" s="482"/>
      <c r="AG215" s="483">
        <f t="shared" ca="1" si="24"/>
        <v>30.020041481255713</v>
      </c>
      <c r="AH215" s="484">
        <f t="shared" ca="1" si="25"/>
        <v>80.555432771213006</v>
      </c>
      <c r="AI215" s="484">
        <f t="shared" ca="1" si="26"/>
        <v>62.520331416852784</v>
      </c>
      <c r="AJ215" s="485">
        <f t="shared" ca="1" si="27"/>
        <v>55.363562212997202</v>
      </c>
      <c r="AK215" s="627">
        <f t="shared" ca="1" si="30"/>
        <v>57.114841970579683</v>
      </c>
      <c r="AL215" s="482"/>
    </row>
    <row r="216" spans="27:38" x14ac:dyDescent="0.2">
      <c r="AA216" s="483">
        <f t="shared" ca="1" si="28"/>
        <v>12</v>
      </c>
      <c r="AB216" s="484">
        <f t="shared" ca="1" si="21"/>
        <v>8.3371886632508829</v>
      </c>
      <c r="AC216" s="484">
        <f t="shared" ca="1" si="22"/>
        <v>2.6753840000000002</v>
      </c>
      <c r="AD216" s="484">
        <f t="shared" ca="1" si="29"/>
        <v>839</v>
      </c>
      <c r="AE216" s="485">
        <f t="shared" ca="1" si="23"/>
        <v>50.251199999999983</v>
      </c>
      <c r="AF216" s="482"/>
      <c r="AG216" s="483">
        <f t="shared" ca="1" si="24"/>
        <v>29.172129259372142</v>
      </c>
      <c r="AH216" s="484">
        <f t="shared" ca="1" si="25"/>
        <v>47.508158983215154</v>
      </c>
      <c r="AI216" s="484">
        <f t="shared" ca="1" si="26"/>
        <v>37.661919750285875</v>
      </c>
      <c r="AJ216" s="485">
        <f t="shared" ca="1" si="27"/>
        <v>42.71705453948357</v>
      </c>
      <c r="AK216" s="627">
        <f t="shared" ca="1" si="30"/>
        <v>39.264815633089185</v>
      </c>
      <c r="AL216" s="482"/>
    </row>
    <row r="217" spans="27:38" x14ac:dyDescent="0.2">
      <c r="AA217" s="483">
        <f t="shared" ca="1" si="28"/>
        <v>8</v>
      </c>
      <c r="AB217" s="484">
        <f t="shared" ca="1" si="21"/>
        <v>2.5487599750311212</v>
      </c>
      <c r="AC217" s="484">
        <f t="shared" ca="1" si="22"/>
        <v>1.7788959999999998</v>
      </c>
      <c r="AD217" s="484">
        <f t="shared" ca="1" si="29"/>
        <v>734</v>
      </c>
      <c r="AE217" s="485">
        <f t="shared" ca="1" si="23"/>
        <v>87.960799999999992</v>
      </c>
      <c r="AF217" s="482"/>
      <c r="AG217" s="483">
        <f t="shared" ca="1" si="24"/>
        <v>28.340065864065835</v>
      </c>
      <c r="AH217" s="484">
        <f t="shared" ca="1" si="25"/>
        <v>64.194770766020554</v>
      </c>
      <c r="AI217" s="484">
        <f t="shared" ca="1" si="26"/>
        <v>52.341338358028644</v>
      </c>
      <c r="AJ217" s="485">
        <f t="shared" ca="1" si="27"/>
        <v>47.359345417887752</v>
      </c>
      <c r="AK217" s="627">
        <f t="shared" ca="1" si="30"/>
        <v>48.058880101500691</v>
      </c>
      <c r="AL217" s="482"/>
    </row>
    <row r="218" spans="27:38" x14ac:dyDescent="0.2">
      <c r="AA218" s="483">
        <f t="shared" ca="1" si="28"/>
        <v>10</v>
      </c>
      <c r="AB218" s="484">
        <f t="shared" ca="1" si="21"/>
        <v>4.9467360247874907</v>
      </c>
      <c r="AC218" s="484">
        <f t="shared" ca="1" si="22"/>
        <v>2.2271399999999999</v>
      </c>
      <c r="AD218" s="484">
        <f t="shared" ca="1" si="29"/>
        <v>551</v>
      </c>
      <c r="AE218" s="485">
        <f t="shared" ca="1" si="23"/>
        <v>69.105999999999995</v>
      </c>
      <c r="AF218" s="482"/>
      <c r="AG218" s="483">
        <f t="shared" ca="1" si="24"/>
        <v>26.889898232246267</v>
      </c>
      <c r="AH218" s="484">
        <f t="shared" ca="1" si="25"/>
        <v>53.491841074682313</v>
      </c>
      <c r="AI218" s="484">
        <f t="shared" ca="1" si="26"/>
        <v>42.473646731694608</v>
      </c>
      <c r="AJ218" s="485">
        <f t="shared" ca="1" si="27"/>
        <v>39.007657237856471</v>
      </c>
      <c r="AK218" s="627">
        <f t="shared" ca="1" si="30"/>
        <v>40.465760819119915</v>
      </c>
      <c r="AL218" s="482"/>
    </row>
    <row r="219" spans="27:38" x14ac:dyDescent="0.2">
      <c r="AA219" s="483">
        <f t="shared" ca="1" si="28"/>
        <v>6</v>
      </c>
      <c r="AB219" s="484">
        <f t="shared" ca="1" si="21"/>
        <v>1.0396976224741601</v>
      </c>
      <c r="AC219" s="484">
        <f t="shared" ca="1" si="22"/>
        <v>1.3306519999999999</v>
      </c>
      <c r="AD219" s="484">
        <f t="shared" ca="1" si="29"/>
        <v>381</v>
      </c>
      <c r="AE219" s="485">
        <f t="shared" ca="1" si="23"/>
        <v>106.81559999999999</v>
      </c>
      <c r="AF219" s="482"/>
      <c r="AG219" s="483">
        <f t="shared" ca="1" si="24"/>
        <v>25.542747973178908</v>
      </c>
      <c r="AH219" s="484">
        <f t="shared" ca="1" si="25"/>
        <v>75.028812252840794</v>
      </c>
      <c r="AI219" s="484">
        <f t="shared" ca="1" si="26"/>
        <v>56.455320749373357</v>
      </c>
      <c r="AJ219" s="485">
        <f t="shared" ca="1" si="27"/>
        <v>39.327619212997192</v>
      </c>
      <c r="AK219" s="627">
        <f t="shared" ca="1" si="30"/>
        <v>49.088625047097565</v>
      </c>
      <c r="AL219" s="482"/>
    </row>
    <row r="220" spans="27:38" x14ac:dyDescent="0.2">
      <c r="AA220" s="483">
        <f t="shared" ca="1" si="28"/>
        <v>7</v>
      </c>
      <c r="AB220" s="484">
        <f t="shared" ref="AB220:AB283" ca="1" si="31">10^(-2.729937+1.909478*LOG(AA220)+1.085681*LOG(3.281*(1.3+EXP(4.5503-11.4582*(AA220*2.54)^-0.5994))))/$G$30</f>
        <v>1.6910619505690725</v>
      </c>
      <c r="AC220" s="484">
        <f t="shared" ref="AC220:AC283" ca="1" si="32">-0.01408+0.224122*AA220</f>
        <v>1.5547739999999999</v>
      </c>
      <c r="AD220" s="484">
        <f t="shared" ca="1" si="29"/>
        <v>614</v>
      </c>
      <c r="AE220" s="485">
        <f t="shared" ref="AE220:AE283" ca="1" si="33">-9.4274*AA220+163.38</f>
        <v>97.388199999999998</v>
      </c>
      <c r="AF220" s="482"/>
      <c r="AG220" s="483">
        <f t="shared" ref="AG220:AG283" ca="1" si="34">20.3761+0.1734*35.86/3.281+0.0244*33.92/3.281+0.026*AD220/3.281</f>
        <v>27.38913626943005</v>
      </c>
      <c r="AH220" s="484">
        <f t="shared" ref="AH220:AH283" ca="1" si="35">(1/(0.0003089+0.0000001165*(AD220/3.281)-0.0000003168*(100/3.281)-0.0000001696*(AD220/3.281)-0.000001496*(AE220)))/100</f>
        <v>69.630789686808797</v>
      </c>
      <c r="AI220" s="484">
        <f t="shared" ref="AI220:AI283" ca="1" si="36">(714.1783+1.4775*(100/3.281)+3.522*(AD220/3.281)+41.9165*(AE220))/100</f>
        <v>55.004830620448949</v>
      </c>
      <c r="AJ220" s="485">
        <f t="shared" ref="AJ220:AJ283" ca="1" si="37">(((11.2+0.853*141.1/3.281)+(103+2.66*AD220+0.0384*AD220*AF220)+(236+1550*0.96-4540*0.96*AB220/35.315)+(21.9+3.04*101.7/3.281)+(36.8+0.65*141.1/3.281)+(-162+852*0.96+5105*0.83*0.021))*(1+0.067))/100</f>
        <v>45.082930624030475</v>
      </c>
      <c r="AK220" s="627">
        <f t="shared" ca="1" si="30"/>
        <v>49.276921800179565</v>
      </c>
      <c r="AL220" s="482"/>
    </row>
    <row r="221" spans="27:38" x14ac:dyDescent="0.2">
      <c r="AA221" s="483">
        <f t="shared" ref="AA221:AA284" ca="1" si="38">RANDBETWEEN(6,16)</f>
        <v>11</v>
      </c>
      <c r="AB221" s="484">
        <f t="shared" ca="1" si="31"/>
        <v>6.5126594683761416</v>
      </c>
      <c r="AC221" s="484">
        <f t="shared" ca="1" si="32"/>
        <v>2.4512619999999998</v>
      </c>
      <c r="AD221" s="484">
        <f t="shared" ref="AD221:AD284" ca="1" si="39">RANDBETWEEN(100,1000)</f>
        <v>424</v>
      </c>
      <c r="AE221" s="485">
        <f t="shared" ca="1" si="33"/>
        <v>59.678599999999989</v>
      </c>
      <c r="AF221" s="482"/>
      <c r="AG221" s="483">
        <f t="shared" ca="1" si="34"/>
        <v>25.883497744590063</v>
      </c>
      <c r="AH221" s="484">
        <f t="shared" ca="1" si="35"/>
        <v>49.236061312632401</v>
      </c>
      <c r="AI221" s="484">
        <f t="shared" ca="1" si="36"/>
        <v>37.158725027031082</v>
      </c>
      <c r="AJ221" s="485">
        <f t="shared" ca="1" si="37"/>
        <v>33.341050606967407</v>
      </c>
      <c r="AK221" s="627">
        <f t="shared" ref="AK221:AK284" ca="1" si="40">AVERAGE(AG221:AJ221)</f>
        <v>36.404833672805239</v>
      </c>
      <c r="AL221" s="482"/>
    </row>
    <row r="222" spans="27:38" x14ac:dyDescent="0.2">
      <c r="AA222" s="483">
        <f t="shared" ca="1" si="38"/>
        <v>7</v>
      </c>
      <c r="AB222" s="484">
        <f t="shared" ca="1" si="31"/>
        <v>1.6910619505690725</v>
      </c>
      <c r="AC222" s="484">
        <f t="shared" ca="1" si="32"/>
        <v>1.5547739999999999</v>
      </c>
      <c r="AD222" s="484">
        <f t="shared" ca="1" si="39"/>
        <v>849</v>
      </c>
      <c r="AE222" s="485">
        <f t="shared" ca="1" si="33"/>
        <v>97.388199999999998</v>
      </c>
      <c r="AF222" s="482"/>
      <c r="AG222" s="483">
        <f t="shared" ca="1" si="34"/>
        <v>29.251373392258458</v>
      </c>
      <c r="AH222" s="484">
        <f t="shared" ca="1" si="35"/>
        <v>71.524942399330826</v>
      </c>
      <c r="AI222" s="484">
        <f t="shared" ca="1" si="36"/>
        <v>57.527445676834198</v>
      </c>
      <c r="AJ222" s="485">
        <f t="shared" ca="1" si="37"/>
        <v>51.752747624030484</v>
      </c>
      <c r="AK222" s="627">
        <f t="shared" ca="1" si="40"/>
        <v>52.514127273113495</v>
      </c>
      <c r="AL222" s="482"/>
    </row>
    <row r="223" spans="27:38" x14ac:dyDescent="0.2">
      <c r="AA223" s="483">
        <f t="shared" ca="1" si="38"/>
        <v>12</v>
      </c>
      <c r="AB223" s="484">
        <f t="shared" ca="1" si="31"/>
        <v>8.3371886632508829</v>
      </c>
      <c r="AC223" s="484">
        <f t="shared" ca="1" si="32"/>
        <v>2.6753840000000002</v>
      </c>
      <c r="AD223" s="484">
        <f t="shared" ca="1" si="39"/>
        <v>446</v>
      </c>
      <c r="AE223" s="485">
        <f t="shared" ca="1" si="33"/>
        <v>50.251199999999983</v>
      </c>
      <c r="AF223" s="482"/>
      <c r="AG223" s="483">
        <f t="shared" ca="1" si="34"/>
        <v>26.057834836939957</v>
      </c>
      <c r="AH223" s="484">
        <f t="shared" ca="1" si="35"/>
        <v>46.114717938464871</v>
      </c>
      <c r="AI223" s="484">
        <f t="shared" ca="1" si="36"/>
        <v>33.443248613437362</v>
      </c>
      <c r="AJ223" s="485">
        <f t="shared" ca="1" si="37"/>
        <v>31.562849939483563</v>
      </c>
      <c r="AK223" s="627">
        <f t="shared" ca="1" si="40"/>
        <v>34.294662832081436</v>
      </c>
      <c r="AL223" s="482"/>
    </row>
    <row r="224" spans="27:38" x14ac:dyDescent="0.2">
      <c r="AA224" s="483">
        <f t="shared" ca="1" si="38"/>
        <v>10</v>
      </c>
      <c r="AB224" s="484">
        <f t="shared" ca="1" si="31"/>
        <v>4.9467360247874907</v>
      </c>
      <c r="AC224" s="484">
        <f t="shared" ca="1" si="32"/>
        <v>2.2271399999999999</v>
      </c>
      <c r="AD224" s="484">
        <f t="shared" ca="1" si="39"/>
        <v>242</v>
      </c>
      <c r="AE224" s="485">
        <f t="shared" ca="1" si="33"/>
        <v>69.105999999999995</v>
      </c>
      <c r="AF224" s="482"/>
      <c r="AG224" s="483">
        <f t="shared" ca="1" si="34"/>
        <v>24.441254526059129</v>
      </c>
      <c r="AH224" s="484">
        <f t="shared" ca="1" si="35"/>
        <v>52.098180945721914</v>
      </c>
      <c r="AI224" s="484">
        <f t="shared" ca="1" si="36"/>
        <v>39.156676295851874</v>
      </c>
      <c r="AJ224" s="485">
        <f t="shared" ca="1" si="37"/>
        <v>30.23755743785647</v>
      </c>
      <c r="AK224" s="627">
        <f t="shared" ca="1" si="40"/>
        <v>36.483417301372349</v>
      </c>
      <c r="AL224" s="482"/>
    </row>
    <row r="225" spans="27:38" x14ac:dyDescent="0.2">
      <c r="AA225" s="483">
        <f t="shared" ca="1" si="38"/>
        <v>10</v>
      </c>
      <c r="AB225" s="484">
        <f t="shared" ca="1" si="31"/>
        <v>4.9467360247874907</v>
      </c>
      <c r="AC225" s="484">
        <f t="shared" ca="1" si="32"/>
        <v>2.2271399999999999</v>
      </c>
      <c r="AD225" s="484">
        <f t="shared" ca="1" si="39"/>
        <v>425</v>
      </c>
      <c r="AE225" s="485">
        <f t="shared" ca="1" si="33"/>
        <v>69.105999999999995</v>
      </c>
      <c r="AF225" s="482"/>
      <c r="AG225" s="483">
        <f t="shared" ca="1" si="34"/>
        <v>25.891422157878694</v>
      </c>
      <c r="AH225" s="484">
        <f t="shared" ca="1" si="35"/>
        <v>52.914646447040496</v>
      </c>
      <c r="AI225" s="484">
        <f t="shared" ca="1" si="36"/>
        <v>41.121095680185917</v>
      </c>
      <c r="AJ225" s="485">
        <f t="shared" ca="1" si="37"/>
        <v>35.431500037856473</v>
      </c>
      <c r="AK225" s="627">
        <f t="shared" ca="1" si="40"/>
        <v>38.839666080740393</v>
      </c>
      <c r="AL225" s="482"/>
    </row>
    <row r="226" spans="27:38" x14ac:dyDescent="0.2">
      <c r="AA226" s="483">
        <f t="shared" ca="1" si="38"/>
        <v>16</v>
      </c>
      <c r="AB226" s="484">
        <f t="shared" ca="1" si="31"/>
        <v>18.379198818405975</v>
      </c>
      <c r="AC226" s="484">
        <f t="shared" ca="1" si="32"/>
        <v>3.5718719999999999</v>
      </c>
      <c r="AD226" s="484">
        <f t="shared" ca="1" si="39"/>
        <v>818</v>
      </c>
      <c r="AE226" s="485">
        <f t="shared" ca="1" si="33"/>
        <v>12.541599999999988</v>
      </c>
      <c r="AF226" s="482"/>
      <c r="AG226" s="483">
        <f t="shared" ca="1" si="34"/>
        <v>29.005716580310882</v>
      </c>
      <c r="AH226" s="484">
        <f t="shared" ca="1" si="35"/>
        <v>37.419045607322985</v>
      </c>
      <c r="AI226" s="484">
        <f t="shared" ca="1" si="36"/>
        <v>21.629950091034434</v>
      </c>
      <c r="AJ226" s="485">
        <f t="shared" ca="1" si="37"/>
        <v>28.897329468391039</v>
      </c>
      <c r="AK226" s="627">
        <f t="shared" ca="1" si="40"/>
        <v>29.238010436764831</v>
      </c>
      <c r="AL226" s="482"/>
    </row>
    <row r="227" spans="27:38" x14ac:dyDescent="0.2">
      <c r="AA227" s="483">
        <f t="shared" ca="1" si="38"/>
        <v>9</v>
      </c>
      <c r="AB227" s="484">
        <f t="shared" ca="1" si="31"/>
        <v>3.6293567322283229</v>
      </c>
      <c r="AC227" s="484">
        <f t="shared" ca="1" si="32"/>
        <v>2.003018</v>
      </c>
      <c r="AD227" s="484">
        <f t="shared" ca="1" si="39"/>
        <v>965</v>
      </c>
      <c r="AE227" s="485">
        <f t="shared" ca="1" si="33"/>
        <v>78.533399999999986</v>
      </c>
      <c r="AF227" s="482"/>
      <c r="AG227" s="483">
        <f t="shared" ca="1" si="34"/>
        <v>30.170605333739715</v>
      </c>
      <c r="AH227" s="484">
        <f t="shared" ca="1" si="35"/>
        <v>60.189913477867265</v>
      </c>
      <c r="AI227" s="484">
        <f t="shared" ca="1" si="36"/>
        <v>50.869379164794573</v>
      </c>
      <c r="AJ227" s="485">
        <f t="shared" ca="1" si="37"/>
        <v>52.492662928008571</v>
      </c>
      <c r="AK227" s="627">
        <f t="shared" ca="1" si="40"/>
        <v>48.430640226102533</v>
      </c>
      <c r="AL227" s="482"/>
    </row>
    <row r="228" spans="27:38" x14ac:dyDescent="0.2">
      <c r="AA228" s="483">
        <f t="shared" ca="1" si="38"/>
        <v>7</v>
      </c>
      <c r="AB228" s="484">
        <f t="shared" ca="1" si="31"/>
        <v>1.6910619505690725</v>
      </c>
      <c r="AC228" s="484">
        <f t="shared" ca="1" si="32"/>
        <v>1.5547739999999999</v>
      </c>
      <c r="AD228" s="484">
        <f t="shared" ca="1" si="39"/>
        <v>931</v>
      </c>
      <c r="AE228" s="485">
        <f t="shared" ca="1" si="33"/>
        <v>97.388199999999998</v>
      </c>
      <c r="AF228" s="482"/>
      <c r="AG228" s="483">
        <f t="shared" ca="1" si="34"/>
        <v>29.901175281926243</v>
      </c>
      <c r="AH228" s="484">
        <f t="shared" ca="1" si="35"/>
        <v>72.210366242127208</v>
      </c>
      <c r="AI228" s="484">
        <f t="shared" ca="1" si="36"/>
        <v>58.407677313530321</v>
      </c>
      <c r="AJ228" s="485">
        <f t="shared" ca="1" si="37"/>
        <v>54.080088024030495</v>
      </c>
      <c r="AK228" s="627">
        <f t="shared" ca="1" si="40"/>
        <v>53.649826715403563</v>
      </c>
      <c r="AL228" s="482"/>
    </row>
    <row r="229" spans="27:38" x14ac:dyDescent="0.2">
      <c r="AA229" s="483">
        <f t="shared" ca="1" si="38"/>
        <v>9</v>
      </c>
      <c r="AB229" s="484">
        <f t="shared" ca="1" si="31"/>
        <v>3.6293567322283229</v>
      </c>
      <c r="AC229" s="484">
        <f t="shared" ca="1" si="32"/>
        <v>2.003018</v>
      </c>
      <c r="AD229" s="484">
        <f t="shared" ca="1" si="39"/>
        <v>248</v>
      </c>
      <c r="AE229" s="485">
        <f t="shared" ca="1" si="33"/>
        <v>78.533399999999986</v>
      </c>
      <c r="AF229" s="482"/>
      <c r="AG229" s="483">
        <f t="shared" ca="1" si="34"/>
        <v>24.488801005790918</v>
      </c>
      <c r="AH229" s="484">
        <f t="shared" ca="1" si="35"/>
        <v>56.260440609560902</v>
      </c>
      <c r="AI229" s="484">
        <f t="shared" ca="1" si="36"/>
        <v>43.172719609780849</v>
      </c>
      <c r="AJ229" s="485">
        <f t="shared" ca="1" si="37"/>
        <v>32.142625528008558</v>
      </c>
      <c r="AK229" s="627">
        <f t="shared" ca="1" si="40"/>
        <v>39.016146688285303</v>
      </c>
      <c r="AL229" s="482"/>
    </row>
    <row r="230" spans="27:38" x14ac:dyDescent="0.2">
      <c r="AA230" s="483">
        <f t="shared" ca="1" si="38"/>
        <v>15</v>
      </c>
      <c r="AB230" s="484">
        <f t="shared" ca="1" si="31"/>
        <v>15.443787118411857</v>
      </c>
      <c r="AC230" s="484">
        <f t="shared" ca="1" si="32"/>
        <v>3.34775</v>
      </c>
      <c r="AD230" s="484">
        <f t="shared" ca="1" si="39"/>
        <v>755</v>
      </c>
      <c r="AE230" s="485">
        <f t="shared" ca="1" si="33"/>
        <v>21.968999999999994</v>
      </c>
      <c r="AF230" s="482"/>
      <c r="AG230" s="483">
        <f t="shared" ca="1" si="34"/>
        <v>28.506478543127095</v>
      </c>
      <c r="AH230" s="484">
        <f t="shared" ca="1" si="35"/>
        <v>39.345326025582146</v>
      </c>
      <c r="AI230" s="484">
        <f t="shared" ca="1" si="36"/>
        <v>24.905310686280096</v>
      </c>
      <c r="AJ230" s="485">
        <f t="shared" ca="1" si="37"/>
        <v>30.974712044356622</v>
      </c>
      <c r="AK230" s="627">
        <f t="shared" ca="1" si="40"/>
        <v>30.932956824836491</v>
      </c>
      <c r="AL230" s="482"/>
    </row>
    <row r="231" spans="27:38" x14ac:dyDescent="0.2">
      <c r="AA231" s="483">
        <f t="shared" ca="1" si="38"/>
        <v>10</v>
      </c>
      <c r="AB231" s="484">
        <f t="shared" ca="1" si="31"/>
        <v>4.9467360247874907</v>
      </c>
      <c r="AC231" s="484">
        <f t="shared" ca="1" si="32"/>
        <v>2.2271399999999999</v>
      </c>
      <c r="AD231" s="484">
        <f t="shared" ca="1" si="39"/>
        <v>908</v>
      </c>
      <c r="AE231" s="485">
        <f t="shared" ca="1" si="33"/>
        <v>69.105999999999995</v>
      </c>
      <c r="AF231" s="482"/>
      <c r="AG231" s="483">
        <f t="shared" ca="1" si="34"/>
        <v>29.718913776287717</v>
      </c>
      <c r="AH231" s="484">
        <f t="shared" ca="1" si="35"/>
        <v>55.197788855734871</v>
      </c>
      <c r="AI231" s="484">
        <f t="shared" ca="1" si="36"/>
        <v>46.305874710969213</v>
      </c>
      <c r="AJ231" s="485">
        <f t="shared" ca="1" si="37"/>
        <v>49.140102637856479</v>
      </c>
      <c r="AK231" s="627">
        <f t="shared" ca="1" si="40"/>
        <v>45.090669995212068</v>
      </c>
      <c r="AL231" s="482"/>
    </row>
    <row r="232" spans="27:38" x14ac:dyDescent="0.2">
      <c r="AA232" s="483">
        <f t="shared" ca="1" si="38"/>
        <v>12</v>
      </c>
      <c r="AB232" s="484">
        <f t="shared" ca="1" si="31"/>
        <v>8.3371886632508829</v>
      </c>
      <c r="AC232" s="484">
        <f t="shared" ca="1" si="32"/>
        <v>2.6753840000000002</v>
      </c>
      <c r="AD232" s="484">
        <f t="shared" ca="1" si="39"/>
        <v>191</v>
      </c>
      <c r="AE232" s="485">
        <f t="shared" ca="1" si="33"/>
        <v>50.251199999999983</v>
      </c>
      <c r="AF232" s="482"/>
      <c r="AG232" s="483">
        <f t="shared" ca="1" si="34"/>
        <v>24.037109448338921</v>
      </c>
      <c r="AH232" s="484">
        <f t="shared" ca="1" si="35"/>
        <v>45.253486116049743</v>
      </c>
      <c r="AI232" s="484">
        <f t="shared" ca="1" si="36"/>
        <v>30.705942913955496</v>
      </c>
      <c r="AJ232" s="485">
        <f t="shared" ca="1" si="37"/>
        <v>24.325388939483556</v>
      </c>
      <c r="AK232" s="627">
        <f t="shared" ca="1" si="40"/>
        <v>31.080481854456931</v>
      </c>
      <c r="AL232" s="482"/>
    </row>
    <row r="233" spans="27:38" x14ac:dyDescent="0.2">
      <c r="AA233" s="483">
        <f t="shared" ca="1" si="38"/>
        <v>11</v>
      </c>
      <c r="AB233" s="484">
        <f t="shared" ca="1" si="31"/>
        <v>6.5126594683761416</v>
      </c>
      <c r="AC233" s="484">
        <f t="shared" ca="1" si="32"/>
        <v>2.4512619999999998</v>
      </c>
      <c r="AD233" s="484">
        <f t="shared" ca="1" si="39"/>
        <v>971</v>
      </c>
      <c r="AE233" s="485">
        <f t="shared" ca="1" si="33"/>
        <v>59.678599999999989</v>
      </c>
      <c r="AF233" s="482"/>
      <c r="AG233" s="483">
        <f t="shared" ca="1" si="34"/>
        <v>30.218151813471501</v>
      </c>
      <c r="AH233" s="484">
        <f t="shared" ca="1" si="35"/>
        <v>51.479926923061214</v>
      </c>
      <c r="AI233" s="484">
        <f t="shared" ca="1" si="36"/>
        <v>43.030514115723555</v>
      </c>
      <c r="AJ233" s="485">
        <f t="shared" ca="1" si="37"/>
        <v>48.8661140069674</v>
      </c>
      <c r="AK233" s="627">
        <f t="shared" ca="1" si="40"/>
        <v>43.398676714805916</v>
      </c>
      <c r="AL233" s="482"/>
    </row>
    <row r="234" spans="27:38" x14ac:dyDescent="0.2">
      <c r="AA234" s="483">
        <f t="shared" ca="1" si="38"/>
        <v>15</v>
      </c>
      <c r="AB234" s="484">
        <f t="shared" ca="1" si="31"/>
        <v>15.443787118411857</v>
      </c>
      <c r="AC234" s="484">
        <f t="shared" ca="1" si="32"/>
        <v>3.34775</v>
      </c>
      <c r="AD234" s="484">
        <f t="shared" ca="1" si="39"/>
        <v>197</v>
      </c>
      <c r="AE234" s="485">
        <f t="shared" ca="1" si="33"/>
        <v>21.968999999999994</v>
      </c>
      <c r="AF234" s="482"/>
      <c r="AG234" s="483">
        <f t="shared" ca="1" si="34"/>
        <v>24.08465592807071</v>
      </c>
      <c r="AH234" s="484">
        <f t="shared" ca="1" si="35"/>
        <v>37.995289868405976</v>
      </c>
      <c r="AI234" s="484">
        <f t="shared" ca="1" si="36"/>
        <v>18.915441743884486</v>
      </c>
      <c r="AJ234" s="485">
        <f t="shared" ca="1" si="37"/>
        <v>15.137444444356616</v>
      </c>
      <c r="AK234" s="627">
        <f t="shared" ca="1" si="40"/>
        <v>24.033207996179449</v>
      </c>
      <c r="AL234" s="482"/>
    </row>
    <row r="235" spans="27:38" x14ac:dyDescent="0.2">
      <c r="AA235" s="483">
        <f t="shared" ca="1" si="38"/>
        <v>8</v>
      </c>
      <c r="AB235" s="484">
        <f t="shared" ca="1" si="31"/>
        <v>2.5487599750311212</v>
      </c>
      <c r="AC235" s="484">
        <f t="shared" ca="1" si="32"/>
        <v>1.7788959999999998</v>
      </c>
      <c r="AD235" s="484">
        <f t="shared" ca="1" si="39"/>
        <v>642</v>
      </c>
      <c r="AE235" s="485">
        <f t="shared" ca="1" si="33"/>
        <v>87.960799999999992</v>
      </c>
      <c r="AF235" s="482"/>
      <c r="AG235" s="483">
        <f t="shared" ca="1" si="34"/>
        <v>27.611019841511734</v>
      </c>
      <c r="AH235" s="484">
        <f t="shared" ca="1" si="35"/>
        <v>63.586994039937935</v>
      </c>
      <c r="AI235" s="484">
        <f t="shared" ca="1" si="36"/>
        <v>51.353761399784204</v>
      </c>
      <c r="AJ235" s="485">
        <f t="shared" ca="1" si="37"/>
        <v>44.748183017887747</v>
      </c>
      <c r="AK235" s="627">
        <f t="shared" ca="1" si="40"/>
        <v>46.824989574780403</v>
      </c>
      <c r="AL235" s="482"/>
    </row>
    <row r="236" spans="27:38" x14ac:dyDescent="0.2">
      <c r="AA236" s="483">
        <f t="shared" ca="1" si="38"/>
        <v>6</v>
      </c>
      <c r="AB236" s="484">
        <f t="shared" ca="1" si="31"/>
        <v>1.0396976224741601</v>
      </c>
      <c r="AC236" s="484">
        <f t="shared" ca="1" si="32"/>
        <v>1.3306519999999999</v>
      </c>
      <c r="AD236" s="484">
        <f t="shared" ca="1" si="39"/>
        <v>953</v>
      </c>
      <c r="AE236" s="485">
        <f t="shared" ca="1" si="33"/>
        <v>106.81559999999999</v>
      </c>
      <c r="AF236" s="482"/>
      <c r="AG236" s="483">
        <f t="shared" ca="1" si="34"/>
        <v>30.075512374276137</v>
      </c>
      <c r="AH236" s="484">
        <f t="shared" ca="1" si="35"/>
        <v>80.629014929082302</v>
      </c>
      <c r="AI236" s="484">
        <f t="shared" ca="1" si="36"/>
        <v>62.595473141936601</v>
      </c>
      <c r="AJ236" s="485">
        <f t="shared" ca="1" si="37"/>
        <v>55.562237612997208</v>
      </c>
      <c r="AK236" s="627">
        <f t="shared" ca="1" si="40"/>
        <v>57.215559514573059</v>
      </c>
      <c r="AL236" s="482"/>
    </row>
    <row r="237" spans="27:38" x14ac:dyDescent="0.2">
      <c r="AA237" s="483">
        <f t="shared" ca="1" si="38"/>
        <v>12</v>
      </c>
      <c r="AB237" s="484">
        <f t="shared" ca="1" si="31"/>
        <v>8.3371886632508829</v>
      </c>
      <c r="AC237" s="484">
        <f t="shared" ca="1" si="32"/>
        <v>2.6753840000000002</v>
      </c>
      <c r="AD237" s="484">
        <f t="shared" ca="1" si="39"/>
        <v>827</v>
      </c>
      <c r="AE237" s="485">
        <f t="shared" ca="1" si="33"/>
        <v>50.251199999999983</v>
      </c>
      <c r="AF237" s="482"/>
      <c r="AG237" s="483">
        <f t="shared" ca="1" si="34"/>
        <v>29.077036299908563</v>
      </c>
      <c r="AH237" s="484">
        <f t="shared" ca="1" si="35"/>
        <v>47.464365910198055</v>
      </c>
      <c r="AI237" s="484">
        <f t="shared" ca="1" si="36"/>
        <v>37.533105364427911</v>
      </c>
      <c r="AJ237" s="485">
        <f t="shared" ca="1" si="37"/>
        <v>42.37646813948357</v>
      </c>
      <c r="AK237" s="627">
        <f t="shared" ca="1" si="40"/>
        <v>39.112743928504521</v>
      </c>
      <c r="AL237" s="482"/>
    </row>
    <row r="238" spans="27:38" x14ac:dyDescent="0.2">
      <c r="AA238" s="483">
        <f t="shared" ca="1" si="38"/>
        <v>14</v>
      </c>
      <c r="AB238" s="484">
        <f t="shared" ca="1" si="31"/>
        <v>12.795667543366134</v>
      </c>
      <c r="AC238" s="484">
        <f t="shared" ca="1" si="32"/>
        <v>3.1236280000000001</v>
      </c>
      <c r="AD238" s="484">
        <f t="shared" ca="1" si="39"/>
        <v>278</v>
      </c>
      <c r="AE238" s="485">
        <f t="shared" ca="1" si="33"/>
        <v>31.3964</v>
      </c>
      <c r="AF238" s="482"/>
      <c r="AG238" s="483">
        <f t="shared" ca="1" si="34"/>
        <v>24.726533404449864</v>
      </c>
      <c r="AH238" s="484">
        <f t="shared" ca="1" si="35"/>
        <v>40.358998829783957</v>
      </c>
      <c r="AI238" s="484">
        <f t="shared" ca="1" si="36"/>
        <v>23.736574969425781</v>
      </c>
      <c r="AJ238" s="485">
        <f t="shared" ca="1" si="37"/>
        <v>20.923546681656113</v>
      </c>
      <c r="AK238" s="627">
        <f t="shared" ca="1" si="40"/>
        <v>27.436413471328933</v>
      </c>
      <c r="AL238" s="482"/>
    </row>
    <row r="239" spans="27:38" x14ac:dyDescent="0.2">
      <c r="AA239" s="483">
        <f t="shared" ca="1" si="38"/>
        <v>8</v>
      </c>
      <c r="AB239" s="484">
        <f t="shared" ca="1" si="31"/>
        <v>2.5487599750311212</v>
      </c>
      <c r="AC239" s="484">
        <f t="shared" ca="1" si="32"/>
        <v>1.7788959999999998</v>
      </c>
      <c r="AD239" s="484">
        <f t="shared" ca="1" si="39"/>
        <v>287</v>
      </c>
      <c r="AE239" s="485">
        <f t="shared" ca="1" si="33"/>
        <v>87.960799999999992</v>
      </c>
      <c r="AF239" s="482"/>
      <c r="AG239" s="483">
        <f t="shared" ca="1" si="34"/>
        <v>24.797853124047545</v>
      </c>
      <c r="AH239" s="484">
        <f t="shared" ca="1" si="35"/>
        <v>61.345848221418173</v>
      </c>
      <c r="AI239" s="484">
        <f t="shared" ca="1" si="36"/>
        <v>47.543002484819262</v>
      </c>
      <c r="AJ239" s="485">
        <f t="shared" ca="1" si="37"/>
        <v>34.672502017887751</v>
      </c>
      <c r="AK239" s="627">
        <f t="shared" ca="1" si="40"/>
        <v>42.089801462043184</v>
      </c>
      <c r="AL239" s="482"/>
    </row>
    <row r="240" spans="27:38" x14ac:dyDescent="0.2">
      <c r="AA240" s="483">
        <f t="shared" ca="1" si="38"/>
        <v>15</v>
      </c>
      <c r="AB240" s="484">
        <f t="shared" ca="1" si="31"/>
        <v>15.443787118411857</v>
      </c>
      <c r="AC240" s="484">
        <f t="shared" ca="1" si="32"/>
        <v>3.34775</v>
      </c>
      <c r="AD240" s="484">
        <f t="shared" ca="1" si="39"/>
        <v>156</v>
      </c>
      <c r="AE240" s="485">
        <f t="shared" ca="1" si="33"/>
        <v>21.968999999999994</v>
      </c>
      <c r="AF240" s="482"/>
      <c r="AG240" s="483">
        <f t="shared" ca="1" si="34"/>
        <v>23.759754983236817</v>
      </c>
      <c r="AH240" s="484">
        <f t="shared" ca="1" si="35"/>
        <v>37.899738234025129</v>
      </c>
      <c r="AI240" s="484">
        <f t="shared" ca="1" si="36"/>
        <v>18.475325925536421</v>
      </c>
      <c r="AJ240" s="485">
        <f t="shared" ca="1" si="37"/>
        <v>13.973774244356614</v>
      </c>
      <c r="AK240" s="627">
        <f t="shared" ca="1" si="40"/>
        <v>23.527148346788746</v>
      </c>
      <c r="AL240" s="482"/>
    </row>
    <row r="241" spans="27:38" x14ac:dyDescent="0.2">
      <c r="AA241" s="483">
        <f t="shared" ca="1" si="38"/>
        <v>12</v>
      </c>
      <c r="AB241" s="484">
        <f t="shared" ca="1" si="31"/>
        <v>8.3371886632508829</v>
      </c>
      <c r="AC241" s="484">
        <f t="shared" ca="1" si="32"/>
        <v>2.6753840000000002</v>
      </c>
      <c r="AD241" s="484">
        <f t="shared" ca="1" si="39"/>
        <v>360</v>
      </c>
      <c r="AE241" s="485">
        <f t="shared" ca="1" si="33"/>
        <v>50.251199999999983</v>
      </c>
      <c r="AF241" s="482"/>
      <c r="AG241" s="483">
        <f t="shared" ca="1" si="34"/>
        <v>25.376335294117649</v>
      </c>
      <c r="AH241" s="484">
        <f t="shared" ca="1" si="35"/>
        <v>45.820623176152786</v>
      </c>
      <c r="AI241" s="484">
        <f t="shared" ca="1" si="36"/>
        <v>32.520078848121905</v>
      </c>
      <c r="AJ241" s="485">
        <f t="shared" ca="1" si="37"/>
        <v>29.121980739483558</v>
      </c>
      <c r="AK241" s="627">
        <f t="shared" ca="1" si="40"/>
        <v>33.209754514468969</v>
      </c>
      <c r="AL241" s="482"/>
    </row>
    <row r="242" spans="27:38" x14ac:dyDescent="0.2">
      <c r="AA242" s="483">
        <f t="shared" ca="1" si="38"/>
        <v>7</v>
      </c>
      <c r="AB242" s="484">
        <f t="shared" ca="1" si="31"/>
        <v>1.6910619505690725</v>
      </c>
      <c r="AC242" s="484">
        <f t="shared" ca="1" si="32"/>
        <v>1.5547739999999999</v>
      </c>
      <c r="AD242" s="484">
        <f t="shared" ca="1" si="39"/>
        <v>726</v>
      </c>
      <c r="AE242" s="485">
        <f t="shared" ca="1" si="33"/>
        <v>97.388199999999998</v>
      </c>
      <c r="AF242" s="482"/>
      <c r="AG242" s="483">
        <f t="shared" ca="1" si="34"/>
        <v>28.276670557756781</v>
      </c>
      <c r="AH242" s="484">
        <f t="shared" ca="1" si="35"/>
        <v>70.520861904806793</v>
      </c>
      <c r="AI242" s="484">
        <f t="shared" ca="1" si="36"/>
        <v>56.207098221790005</v>
      </c>
      <c r="AJ242" s="485">
        <f t="shared" ca="1" si="37"/>
        <v>48.261737024030481</v>
      </c>
      <c r="AK242" s="627">
        <f t="shared" ca="1" si="40"/>
        <v>50.816591927096013</v>
      </c>
      <c r="AL242" s="482"/>
    </row>
    <row r="243" spans="27:38" x14ac:dyDescent="0.2">
      <c r="AA243" s="483">
        <f t="shared" ca="1" si="38"/>
        <v>8</v>
      </c>
      <c r="AB243" s="484">
        <f t="shared" ca="1" si="31"/>
        <v>2.5487599750311212</v>
      </c>
      <c r="AC243" s="484">
        <f t="shared" ca="1" si="32"/>
        <v>1.7788959999999998</v>
      </c>
      <c r="AD243" s="484">
        <f t="shared" ca="1" si="39"/>
        <v>262</v>
      </c>
      <c r="AE243" s="485">
        <f t="shared" ca="1" si="33"/>
        <v>87.960799999999992</v>
      </c>
      <c r="AF243" s="482"/>
      <c r="AG243" s="483">
        <f t="shared" ca="1" si="34"/>
        <v>24.599742791831758</v>
      </c>
      <c r="AH243" s="484">
        <f t="shared" ca="1" si="35"/>
        <v>61.193960719786858</v>
      </c>
      <c r="AI243" s="484">
        <f t="shared" ca="1" si="36"/>
        <v>47.27463918094849</v>
      </c>
      <c r="AJ243" s="485">
        <f t="shared" ca="1" si="37"/>
        <v>33.96294701788775</v>
      </c>
      <c r="AK243" s="627">
        <f t="shared" ca="1" si="40"/>
        <v>41.757822427613718</v>
      </c>
      <c r="AL243" s="482"/>
    </row>
    <row r="244" spans="27:38" x14ac:dyDescent="0.2">
      <c r="AA244" s="483">
        <f t="shared" ca="1" si="38"/>
        <v>10</v>
      </c>
      <c r="AB244" s="484">
        <f t="shared" ca="1" si="31"/>
        <v>4.9467360247874907</v>
      </c>
      <c r="AC244" s="484">
        <f t="shared" ca="1" si="32"/>
        <v>2.2271399999999999</v>
      </c>
      <c r="AD244" s="484">
        <f t="shared" ca="1" si="39"/>
        <v>817</v>
      </c>
      <c r="AE244" s="485">
        <f t="shared" ca="1" si="33"/>
        <v>69.105999999999995</v>
      </c>
      <c r="AF244" s="482"/>
      <c r="AG244" s="483">
        <f t="shared" ca="1" si="34"/>
        <v>28.997792167022247</v>
      </c>
      <c r="AH244" s="484">
        <f t="shared" ca="1" si="35"/>
        <v>54.752689647222631</v>
      </c>
      <c r="AI244" s="484">
        <f t="shared" ca="1" si="36"/>
        <v>45.329032284879602</v>
      </c>
      <c r="AJ244" s="485">
        <f t="shared" ca="1" si="37"/>
        <v>46.55732243785647</v>
      </c>
      <c r="AK244" s="627">
        <f t="shared" ca="1" si="40"/>
        <v>43.909209134245238</v>
      </c>
      <c r="AL244" s="482"/>
    </row>
    <row r="245" spans="27:38" x14ac:dyDescent="0.2">
      <c r="AA245" s="483">
        <f t="shared" ca="1" si="38"/>
        <v>6</v>
      </c>
      <c r="AB245" s="484">
        <f t="shared" ca="1" si="31"/>
        <v>1.0396976224741601</v>
      </c>
      <c r="AC245" s="484">
        <f t="shared" ca="1" si="32"/>
        <v>1.3306519999999999</v>
      </c>
      <c r="AD245" s="484">
        <f t="shared" ca="1" si="39"/>
        <v>948</v>
      </c>
      <c r="AE245" s="485">
        <f t="shared" ca="1" si="33"/>
        <v>106.81559999999999</v>
      </c>
      <c r="AF245" s="482"/>
      <c r="AG245" s="483">
        <f t="shared" ca="1" si="34"/>
        <v>30.035890307832979</v>
      </c>
      <c r="AH245" s="484">
        <f t="shared" ca="1" si="35"/>
        <v>80.576442536992076</v>
      </c>
      <c r="AI245" s="484">
        <f t="shared" ca="1" si="36"/>
        <v>62.541800481162447</v>
      </c>
      <c r="AJ245" s="485">
        <f t="shared" ca="1" si="37"/>
        <v>55.420326612997194</v>
      </c>
      <c r="AK245" s="627">
        <f t="shared" ca="1" si="40"/>
        <v>57.143614984746179</v>
      </c>
      <c r="AL245" s="482"/>
    </row>
    <row r="246" spans="27:38" x14ac:dyDescent="0.2">
      <c r="AA246" s="483">
        <f t="shared" ca="1" si="38"/>
        <v>15</v>
      </c>
      <c r="AB246" s="484">
        <f t="shared" ca="1" si="31"/>
        <v>15.443787118411857</v>
      </c>
      <c r="AC246" s="484">
        <f t="shared" ca="1" si="32"/>
        <v>3.34775</v>
      </c>
      <c r="AD246" s="484">
        <f t="shared" ca="1" si="39"/>
        <v>989</v>
      </c>
      <c r="AE246" s="485">
        <f t="shared" ca="1" si="33"/>
        <v>21.968999999999994</v>
      </c>
      <c r="AF246" s="482"/>
      <c r="AG246" s="483">
        <f t="shared" ca="1" si="34"/>
        <v>30.360791252666871</v>
      </c>
      <c r="AH246" s="484">
        <f t="shared" ca="1" si="35"/>
        <v>39.94045390057903</v>
      </c>
      <c r="AI246" s="484">
        <f t="shared" ca="1" si="36"/>
        <v>27.417191210510513</v>
      </c>
      <c r="AJ246" s="485">
        <f t="shared" ca="1" si="37"/>
        <v>37.616146844356621</v>
      </c>
      <c r="AK246" s="627">
        <f t="shared" ca="1" si="40"/>
        <v>33.833645802028258</v>
      </c>
      <c r="AL246" s="482"/>
    </row>
    <row r="247" spans="27:38" x14ac:dyDescent="0.2">
      <c r="AA247" s="483">
        <f t="shared" ca="1" si="38"/>
        <v>8</v>
      </c>
      <c r="AB247" s="484">
        <f t="shared" ca="1" si="31"/>
        <v>2.5487599750311212</v>
      </c>
      <c r="AC247" s="484">
        <f t="shared" ca="1" si="32"/>
        <v>1.7788959999999998</v>
      </c>
      <c r="AD247" s="484">
        <f t="shared" ca="1" si="39"/>
        <v>541</v>
      </c>
      <c r="AE247" s="485">
        <f t="shared" ca="1" si="33"/>
        <v>87.960799999999992</v>
      </c>
      <c r="AF247" s="482"/>
      <c r="AG247" s="483">
        <f t="shared" ca="1" si="34"/>
        <v>26.810654099359951</v>
      </c>
      <c r="AH247" s="484">
        <f t="shared" ca="1" si="35"/>
        <v>62.932876876541329</v>
      </c>
      <c r="AI247" s="484">
        <f t="shared" ca="1" si="36"/>
        <v>50.269573652146292</v>
      </c>
      <c r="AJ247" s="485">
        <f t="shared" ca="1" si="37"/>
        <v>41.881580817887752</v>
      </c>
      <c r="AK247" s="627">
        <f t="shared" ca="1" si="40"/>
        <v>45.473671361483838</v>
      </c>
      <c r="AL247" s="482"/>
    </row>
    <row r="248" spans="27:38" x14ac:dyDescent="0.2">
      <c r="AA248" s="483">
        <f t="shared" ca="1" si="38"/>
        <v>9</v>
      </c>
      <c r="AB248" s="484">
        <f t="shared" ca="1" si="31"/>
        <v>3.6293567322283229</v>
      </c>
      <c r="AC248" s="484">
        <f t="shared" ca="1" si="32"/>
        <v>2.003018</v>
      </c>
      <c r="AD248" s="484">
        <f t="shared" ca="1" si="39"/>
        <v>232</v>
      </c>
      <c r="AE248" s="485">
        <f t="shared" ca="1" si="33"/>
        <v>78.533399999999986</v>
      </c>
      <c r="AF248" s="482"/>
      <c r="AG248" s="483">
        <f t="shared" ca="1" si="34"/>
        <v>24.362010393172813</v>
      </c>
      <c r="AH248" s="484">
        <f t="shared" ca="1" si="35"/>
        <v>56.178597467338108</v>
      </c>
      <c r="AI248" s="484">
        <f t="shared" ca="1" si="36"/>
        <v>43.000967095303558</v>
      </c>
      <c r="AJ248" s="485">
        <f t="shared" ca="1" si="37"/>
        <v>31.688510328008565</v>
      </c>
      <c r="AK248" s="627">
        <f t="shared" ca="1" si="40"/>
        <v>38.807521320955757</v>
      </c>
      <c r="AL248" s="482"/>
    </row>
    <row r="249" spans="27:38" x14ac:dyDescent="0.2">
      <c r="AA249" s="483">
        <f t="shared" ca="1" si="38"/>
        <v>12</v>
      </c>
      <c r="AB249" s="484">
        <f t="shared" ca="1" si="31"/>
        <v>8.3371886632508829</v>
      </c>
      <c r="AC249" s="484">
        <f t="shared" ca="1" si="32"/>
        <v>2.6753840000000002</v>
      </c>
      <c r="AD249" s="484">
        <f t="shared" ca="1" si="39"/>
        <v>675</v>
      </c>
      <c r="AE249" s="485">
        <f t="shared" ca="1" si="33"/>
        <v>50.251199999999983</v>
      </c>
      <c r="AF249" s="482"/>
      <c r="AG249" s="483">
        <f t="shared" ca="1" si="34"/>
        <v>27.872525480036575</v>
      </c>
      <c r="AH249" s="484">
        <f t="shared" ca="1" si="35"/>
        <v>46.916561234389121</v>
      </c>
      <c r="AI249" s="484">
        <f t="shared" ca="1" si="36"/>
        <v>35.901456476893621</v>
      </c>
      <c r="AJ249" s="485">
        <f t="shared" ca="1" si="37"/>
        <v>38.062373739483562</v>
      </c>
      <c r="AK249" s="627">
        <f t="shared" ca="1" si="40"/>
        <v>37.188229232700721</v>
      </c>
      <c r="AL249" s="482"/>
    </row>
    <row r="250" spans="27:38" x14ac:dyDescent="0.2">
      <c r="AA250" s="483">
        <f t="shared" ca="1" si="38"/>
        <v>12</v>
      </c>
      <c r="AB250" s="484">
        <f t="shared" ca="1" si="31"/>
        <v>8.3371886632508829</v>
      </c>
      <c r="AC250" s="484">
        <f t="shared" ca="1" si="32"/>
        <v>2.6753840000000002</v>
      </c>
      <c r="AD250" s="484">
        <f t="shared" ca="1" si="39"/>
        <v>702</v>
      </c>
      <c r="AE250" s="485">
        <f t="shared" ca="1" si="33"/>
        <v>50.251199999999983</v>
      </c>
      <c r="AF250" s="482"/>
      <c r="AG250" s="483">
        <f t="shared" ca="1" si="34"/>
        <v>28.086484638829624</v>
      </c>
      <c r="AH250" s="484">
        <f t="shared" ca="1" si="35"/>
        <v>47.012943175378297</v>
      </c>
      <c r="AI250" s="484">
        <f t="shared" ca="1" si="36"/>
        <v>36.191288845074055</v>
      </c>
      <c r="AJ250" s="485">
        <f t="shared" ca="1" si="37"/>
        <v>38.828693139483562</v>
      </c>
      <c r="AK250" s="627">
        <f t="shared" ca="1" si="40"/>
        <v>37.52985244969139</v>
      </c>
      <c r="AL250" s="482"/>
    </row>
    <row r="251" spans="27:38" x14ac:dyDescent="0.2">
      <c r="AA251" s="483">
        <f t="shared" ca="1" si="38"/>
        <v>13</v>
      </c>
      <c r="AB251" s="484">
        <f t="shared" ca="1" si="31"/>
        <v>10.42900695605948</v>
      </c>
      <c r="AC251" s="484">
        <f t="shared" ca="1" si="32"/>
        <v>2.8995060000000001</v>
      </c>
      <c r="AD251" s="484">
        <f t="shared" ca="1" si="39"/>
        <v>779</v>
      </c>
      <c r="AE251" s="485">
        <f t="shared" ca="1" si="33"/>
        <v>40.823799999999991</v>
      </c>
      <c r="AF251" s="482"/>
      <c r="AG251" s="483">
        <f t="shared" ca="1" si="34"/>
        <v>28.696664462054251</v>
      </c>
      <c r="AH251" s="484">
        <f t="shared" ca="1" si="35"/>
        <v>44.333198437445652</v>
      </c>
      <c r="AI251" s="484">
        <f t="shared" ca="1" si="36"/>
        <v>33.066211699996032</v>
      </c>
      <c r="AJ251" s="485">
        <f t="shared" ca="1" si="37"/>
        <v>38.259537076039919</v>
      </c>
      <c r="AK251" s="627">
        <f t="shared" ca="1" si="40"/>
        <v>36.08890291888396</v>
      </c>
      <c r="AL251" s="482"/>
    </row>
    <row r="252" spans="27:38" x14ac:dyDescent="0.2">
      <c r="AA252" s="483">
        <f t="shared" ca="1" si="38"/>
        <v>14</v>
      </c>
      <c r="AB252" s="484">
        <f t="shared" ca="1" si="31"/>
        <v>12.795667543366134</v>
      </c>
      <c r="AC252" s="484">
        <f t="shared" ca="1" si="32"/>
        <v>3.1236280000000001</v>
      </c>
      <c r="AD252" s="484">
        <f t="shared" ca="1" si="39"/>
        <v>718</v>
      </c>
      <c r="AE252" s="485">
        <f t="shared" ca="1" si="33"/>
        <v>31.3964</v>
      </c>
      <c r="AF252" s="482"/>
      <c r="AG252" s="483">
        <f t="shared" ca="1" si="34"/>
        <v>28.21327525144773</v>
      </c>
      <c r="AH252" s="484">
        <f t="shared" ca="1" si="35"/>
        <v>41.55322359300331</v>
      </c>
      <c r="AI252" s="484">
        <f t="shared" ca="1" si="36"/>
        <v>28.459769117551353</v>
      </c>
      <c r="AJ252" s="485">
        <f t="shared" ca="1" si="37"/>
        <v>33.411714681656122</v>
      </c>
      <c r="AK252" s="627">
        <f t="shared" ca="1" si="40"/>
        <v>32.909495660914629</v>
      </c>
      <c r="AL252" s="482"/>
    </row>
    <row r="253" spans="27:38" x14ac:dyDescent="0.2">
      <c r="AA253" s="483">
        <f t="shared" ca="1" si="38"/>
        <v>15</v>
      </c>
      <c r="AB253" s="484">
        <f t="shared" ca="1" si="31"/>
        <v>15.443787118411857</v>
      </c>
      <c r="AC253" s="484">
        <f t="shared" ca="1" si="32"/>
        <v>3.34775</v>
      </c>
      <c r="AD253" s="484">
        <f t="shared" ca="1" si="39"/>
        <v>381</v>
      </c>
      <c r="AE253" s="485">
        <f t="shared" ca="1" si="33"/>
        <v>21.968999999999994</v>
      </c>
      <c r="AF253" s="482"/>
      <c r="AG253" s="483">
        <f t="shared" ca="1" si="34"/>
        <v>25.542747973178908</v>
      </c>
      <c r="AH253" s="484">
        <f t="shared" ca="1" si="35"/>
        <v>38.43010783314898</v>
      </c>
      <c r="AI253" s="484">
        <f t="shared" ca="1" si="36"/>
        <v>20.890595660373361</v>
      </c>
      <c r="AJ253" s="485">
        <f t="shared" ca="1" si="37"/>
        <v>20.359769244356613</v>
      </c>
      <c r="AK253" s="627">
        <f t="shared" ca="1" si="40"/>
        <v>26.305805177764466</v>
      </c>
      <c r="AL253" s="482"/>
    </row>
    <row r="254" spans="27:38" x14ac:dyDescent="0.2">
      <c r="AA254" s="483">
        <f t="shared" ca="1" si="38"/>
        <v>10</v>
      </c>
      <c r="AB254" s="484">
        <f t="shared" ca="1" si="31"/>
        <v>4.9467360247874907</v>
      </c>
      <c r="AC254" s="484">
        <f t="shared" ca="1" si="32"/>
        <v>2.2271399999999999</v>
      </c>
      <c r="AD254" s="484">
        <f t="shared" ca="1" si="39"/>
        <v>694</v>
      </c>
      <c r="AE254" s="485">
        <f t="shared" ca="1" si="33"/>
        <v>69.105999999999995</v>
      </c>
      <c r="AF254" s="482"/>
      <c r="AG254" s="483">
        <f t="shared" ca="1" si="34"/>
        <v>28.023089332520573</v>
      </c>
      <c r="AH254" s="484">
        <f t="shared" ca="1" si="35"/>
        <v>54.162357519077034</v>
      </c>
      <c r="AI254" s="484">
        <f t="shared" ca="1" si="36"/>
        <v>44.00868482983541</v>
      </c>
      <c r="AJ254" s="485">
        <f t="shared" ca="1" si="37"/>
        <v>43.066311837856475</v>
      </c>
      <c r="AK254" s="627">
        <f t="shared" ca="1" si="40"/>
        <v>42.31511087982237</v>
      </c>
      <c r="AL254" s="482"/>
    </row>
    <row r="255" spans="27:38" x14ac:dyDescent="0.2">
      <c r="AA255" s="483">
        <f t="shared" ca="1" si="38"/>
        <v>15</v>
      </c>
      <c r="AB255" s="484">
        <f t="shared" ca="1" si="31"/>
        <v>15.443787118411857</v>
      </c>
      <c r="AC255" s="484">
        <f t="shared" ca="1" si="32"/>
        <v>3.34775</v>
      </c>
      <c r="AD255" s="484">
        <f t="shared" ca="1" si="39"/>
        <v>592</v>
      </c>
      <c r="AE255" s="485">
        <f t="shared" ca="1" si="33"/>
        <v>21.968999999999994</v>
      </c>
      <c r="AF255" s="482"/>
      <c r="AG255" s="483">
        <f t="shared" ca="1" si="34"/>
        <v>27.21479917708016</v>
      </c>
      <c r="AH255" s="484">
        <f t="shared" ca="1" si="35"/>
        <v>38.941143306122576</v>
      </c>
      <c r="AI255" s="484">
        <f t="shared" ca="1" si="36"/>
        <v>23.15558194504267</v>
      </c>
      <c r="AJ255" s="485">
        <f t="shared" ca="1" si="37"/>
        <v>26.348413444356616</v>
      </c>
      <c r="AK255" s="627">
        <f t="shared" ca="1" si="40"/>
        <v>28.914984468150507</v>
      </c>
      <c r="AL255" s="482"/>
    </row>
    <row r="256" spans="27:38" x14ac:dyDescent="0.2">
      <c r="AA256" s="483">
        <f t="shared" ca="1" si="38"/>
        <v>11</v>
      </c>
      <c r="AB256" s="484">
        <f t="shared" ca="1" si="31"/>
        <v>6.5126594683761416</v>
      </c>
      <c r="AC256" s="484">
        <f t="shared" ca="1" si="32"/>
        <v>2.4512619999999998</v>
      </c>
      <c r="AD256" s="484">
        <f t="shared" ca="1" si="39"/>
        <v>425</v>
      </c>
      <c r="AE256" s="485">
        <f t="shared" ca="1" si="33"/>
        <v>59.678599999999989</v>
      </c>
      <c r="AF256" s="482"/>
      <c r="AG256" s="483">
        <f t="shared" ca="1" si="34"/>
        <v>25.891422157878694</v>
      </c>
      <c r="AH256" s="484">
        <f t="shared" ca="1" si="35"/>
        <v>49.23998495581931</v>
      </c>
      <c r="AI256" s="484">
        <f t="shared" ca="1" si="36"/>
        <v>37.169459559185917</v>
      </c>
      <c r="AJ256" s="485">
        <f t="shared" ca="1" si="37"/>
        <v>33.36943280696741</v>
      </c>
      <c r="AK256" s="627">
        <f t="shared" ca="1" si="40"/>
        <v>36.417574869962834</v>
      </c>
      <c r="AL256" s="482"/>
    </row>
    <row r="257" spans="27:38" x14ac:dyDescent="0.2">
      <c r="AA257" s="483">
        <f t="shared" ca="1" si="38"/>
        <v>11</v>
      </c>
      <c r="AB257" s="484">
        <f t="shared" ca="1" si="31"/>
        <v>6.5126594683761416</v>
      </c>
      <c r="AC257" s="484">
        <f t="shared" ca="1" si="32"/>
        <v>2.4512619999999998</v>
      </c>
      <c r="AD257" s="484">
        <f t="shared" ca="1" si="39"/>
        <v>497</v>
      </c>
      <c r="AE257" s="485">
        <f t="shared" ca="1" si="33"/>
        <v>59.678599999999989</v>
      </c>
      <c r="AF257" s="482"/>
      <c r="AG257" s="483">
        <f t="shared" ca="1" si="34"/>
        <v>26.461979914660166</v>
      </c>
      <c r="AH257" s="484">
        <f t="shared" ca="1" si="35"/>
        <v>49.524140178666073</v>
      </c>
      <c r="AI257" s="484">
        <f t="shared" ca="1" si="36"/>
        <v>37.942345874333732</v>
      </c>
      <c r="AJ257" s="485">
        <f t="shared" ca="1" si="37"/>
        <v>35.412951206967406</v>
      </c>
      <c r="AK257" s="627">
        <f t="shared" ca="1" si="40"/>
        <v>37.335354293656849</v>
      </c>
      <c r="AL257" s="482"/>
    </row>
    <row r="258" spans="27:38" x14ac:dyDescent="0.2">
      <c r="AA258" s="483">
        <f t="shared" ca="1" si="38"/>
        <v>10</v>
      </c>
      <c r="AB258" s="484">
        <f t="shared" ca="1" si="31"/>
        <v>4.9467360247874907</v>
      </c>
      <c r="AC258" s="484">
        <f t="shared" ca="1" si="32"/>
        <v>2.2271399999999999</v>
      </c>
      <c r="AD258" s="484">
        <f t="shared" ca="1" si="39"/>
        <v>788</v>
      </c>
      <c r="AE258" s="485">
        <f t="shared" ca="1" si="33"/>
        <v>69.105999999999995</v>
      </c>
      <c r="AF258" s="482"/>
      <c r="AG258" s="483">
        <f t="shared" ca="1" si="34"/>
        <v>28.767984181651936</v>
      </c>
      <c r="AH258" s="484">
        <f t="shared" ca="1" si="35"/>
        <v>54.612349280878078</v>
      </c>
      <c r="AI258" s="484">
        <f t="shared" ca="1" si="36"/>
        <v>45.017730852389512</v>
      </c>
      <c r="AJ258" s="485">
        <f t="shared" ca="1" si="37"/>
        <v>45.734238637856471</v>
      </c>
      <c r="AK258" s="627">
        <f t="shared" ca="1" si="40"/>
        <v>43.533075738194</v>
      </c>
      <c r="AL258" s="482"/>
    </row>
    <row r="259" spans="27:38" x14ac:dyDescent="0.2">
      <c r="AA259" s="483">
        <f t="shared" ca="1" si="38"/>
        <v>16</v>
      </c>
      <c r="AB259" s="484">
        <f t="shared" ca="1" si="31"/>
        <v>18.379198818405975</v>
      </c>
      <c r="AC259" s="484">
        <f t="shared" ca="1" si="32"/>
        <v>3.5718719999999999</v>
      </c>
      <c r="AD259" s="484">
        <f t="shared" ca="1" si="39"/>
        <v>262</v>
      </c>
      <c r="AE259" s="485">
        <f t="shared" ca="1" si="33"/>
        <v>12.541599999999988</v>
      </c>
      <c r="AF259" s="482"/>
      <c r="AG259" s="483">
        <f t="shared" ca="1" si="34"/>
        <v>24.599742791831758</v>
      </c>
      <c r="AH259" s="484">
        <f t="shared" ca="1" si="35"/>
        <v>36.200150958916943</v>
      </c>
      <c r="AI259" s="484">
        <f t="shared" ca="1" si="36"/>
        <v>15.661550212948487</v>
      </c>
      <c r="AJ259" s="485">
        <f t="shared" ca="1" si="37"/>
        <v>13.116826268391042</v>
      </c>
      <c r="AK259" s="627">
        <f t="shared" ca="1" si="40"/>
        <v>22.394567558022057</v>
      </c>
      <c r="AL259" s="482"/>
    </row>
    <row r="260" spans="27:38" x14ac:dyDescent="0.2">
      <c r="AA260" s="483">
        <f t="shared" ca="1" si="38"/>
        <v>8</v>
      </c>
      <c r="AB260" s="484">
        <f t="shared" ca="1" si="31"/>
        <v>2.5487599750311212</v>
      </c>
      <c r="AC260" s="484">
        <f t="shared" ca="1" si="32"/>
        <v>1.7788959999999998</v>
      </c>
      <c r="AD260" s="484">
        <f t="shared" ca="1" si="39"/>
        <v>140</v>
      </c>
      <c r="AE260" s="485">
        <f t="shared" ca="1" si="33"/>
        <v>87.960799999999992</v>
      </c>
      <c r="AF260" s="482"/>
      <c r="AG260" s="483">
        <f t="shared" ca="1" si="34"/>
        <v>23.632964370618716</v>
      </c>
      <c r="AH260" s="484">
        <f t="shared" ca="1" si="35"/>
        <v>60.463411747598286</v>
      </c>
      <c r="AI260" s="484">
        <f t="shared" ca="1" si="36"/>
        <v>45.965026258059126</v>
      </c>
      <c r="AJ260" s="485">
        <f t="shared" ca="1" si="37"/>
        <v>30.50031861788775</v>
      </c>
      <c r="AK260" s="627">
        <f t="shared" ca="1" si="40"/>
        <v>40.140430248540973</v>
      </c>
      <c r="AL260" s="482"/>
    </row>
    <row r="261" spans="27:38" x14ac:dyDescent="0.2">
      <c r="AA261" s="483">
        <f t="shared" ca="1" si="38"/>
        <v>14</v>
      </c>
      <c r="AB261" s="484">
        <f t="shared" ca="1" si="31"/>
        <v>12.795667543366134</v>
      </c>
      <c r="AC261" s="484">
        <f t="shared" ca="1" si="32"/>
        <v>3.1236280000000001</v>
      </c>
      <c r="AD261" s="484">
        <f t="shared" ca="1" si="39"/>
        <v>155</v>
      </c>
      <c r="AE261" s="485">
        <f t="shared" ca="1" si="33"/>
        <v>31.3964</v>
      </c>
      <c r="AF261" s="482"/>
      <c r="AG261" s="483">
        <f t="shared" ca="1" si="34"/>
        <v>23.751830569948186</v>
      </c>
      <c r="AH261" s="484">
        <f t="shared" ca="1" si="35"/>
        <v>40.037337410050966</v>
      </c>
      <c r="AI261" s="484">
        <f t="shared" ca="1" si="36"/>
        <v>22.416227514381589</v>
      </c>
      <c r="AJ261" s="485">
        <f t="shared" ca="1" si="37"/>
        <v>17.432536081656114</v>
      </c>
      <c r="AK261" s="627">
        <f t="shared" ca="1" si="40"/>
        <v>25.909482894009212</v>
      </c>
      <c r="AL261" s="482"/>
    </row>
    <row r="262" spans="27:38" x14ac:dyDescent="0.2">
      <c r="AA262" s="483">
        <f t="shared" ca="1" si="38"/>
        <v>13</v>
      </c>
      <c r="AB262" s="484">
        <f t="shared" ca="1" si="31"/>
        <v>10.42900695605948</v>
      </c>
      <c r="AC262" s="484">
        <f t="shared" ca="1" si="32"/>
        <v>2.8995060000000001</v>
      </c>
      <c r="AD262" s="484">
        <f t="shared" ca="1" si="39"/>
        <v>565</v>
      </c>
      <c r="AE262" s="485">
        <f t="shared" ca="1" si="33"/>
        <v>40.823799999999991</v>
      </c>
      <c r="AF262" s="482"/>
      <c r="AG262" s="483">
        <f t="shared" ca="1" si="34"/>
        <v>27.000840018287107</v>
      </c>
      <c r="AH262" s="484">
        <f t="shared" ca="1" si="35"/>
        <v>43.662785225377192</v>
      </c>
      <c r="AI262" s="484">
        <f t="shared" ca="1" si="36"/>
        <v>30.769021818862235</v>
      </c>
      <c r="AJ262" s="485">
        <f t="shared" ca="1" si="37"/>
        <v>32.185746276039914</v>
      </c>
      <c r="AK262" s="627">
        <f t="shared" ca="1" si="40"/>
        <v>33.404598334641612</v>
      </c>
      <c r="AL262" s="482"/>
    </row>
    <row r="263" spans="27:38" x14ac:dyDescent="0.2">
      <c r="AA263" s="483">
        <f t="shared" ca="1" si="38"/>
        <v>13</v>
      </c>
      <c r="AB263" s="484">
        <f t="shared" ca="1" si="31"/>
        <v>10.42900695605948</v>
      </c>
      <c r="AC263" s="484">
        <f t="shared" ca="1" si="32"/>
        <v>2.8995060000000001</v>
      </c>
      <c r="AD263" s="484">
        <f t="shared" ca="1" si="39"/>
        <v>225</v>
      </c>
      <c r="AE263" s="485">
        <f t="shared" ca="1" si="33"/>
        <v>40.823799999999991</v>
      </c>
      <c r="AF263" s="482"/>
      <c r="AG263" s="483">
        <f t="shared" ca="1" si="34"/>
        <v>24.306539500152393</v>
      </c>
      <c r="AH263" s="484">
        <f t="shared" ca="1" si="35"/>
        <v>42.638362599474476</v>
      </c>
      <c r="AI263" s="484">
        <f t="shared" ca="1" si="36"/>
        <v>27.119280886219748</v>
      </c>
      <c r="AJ263" s="485">
        <f t="shared" ca="1" si="37"/>
        <v>22.535798276039909</v>
      </c>
      <c r="AK263" s="627">
        <f t="shared" ca="1" si="40"/>
        <v>29.149995315471635</v>
      </c>
      <c r="AL263" s="482"/>
    </row>
    <row r="264" spans="27:38" x14ac:dyDescent="0.2">
      <c r="AA264" s="483">
        <f t="shared" ca="1" si="38"/>
        <v>13</v>
      </c>
      <c r="AB264" s="484">
        <f t="shared" ca="1" si="31"/>
        <v>10.42900695605948</v>
      </c>
      <c r="AC264" s="484">
        <f t="shared" ca="1" si="32"/>
        <v>2.8995060000000001</v>
      </c>
      <c r="AD264" s="484">
        <f t="shared" ca="1" si="39"/>
        <v>824</v>
      </c>
      <c r="AE264" s="485">
        <f t="shared" ca="1" si="33"/>
        <v>40.823799999999991</v>
      </c>
      <c r="AF264" s="482"/>
      <c r="AG264" s="483">
        <f t="shared" ca="1" si="34"/>
        <v>29.053263060042671</v>
      </c>
      <c r="AH264" s="484">
        <f t="shared" ca="1" si="35"/>
        <v>44.476801405507807</v>
      </c>
      <c r="AI264" s="484">
        <f t="shared" ca="1" si="36"/>
        <v>33.54926564696342</v>
      </c>
      <c r="AJ264" s="485">
        <f t="shared" ca="1" si="37"/>
        <v>39.536736076039915</v>
      </c>
      <c r="AK264" s="627">
        <f t="shared" ca="1" si="40"/>
        <v>36.654016547138454</v>
      </c>
      <c r="AL264" s="482"/>
    </row>
    <row r="265" spans="27:38" x14ac:dyDescent="0.2">
      <c r="AA265" s="483">
        <f t="shared" ca="1" si="38"/>
        <v>15</v>
      </c>
      <c r="AB265" s="484">
        <f t="shared" ca="1" si="31"/>
        <v>15.443787118411857</v>
      </c>
      <c r="AC265" s="484">
        <f t="shared" ca="1" si="32"/>
        <v>3.34775</v>
      </c>
      <c r="AD265" s="484">
        <f t="shared" ca="1" si="39"/>
        <v>490</v>
      </c>
      <c r="AE265" s="485">
        <f t="shared" ca="1" si="33"/>
        <v>21.968999999999994</v>
      </c>
      <c r="AF265" s="482"/>
      <c r="AG265" s="483">
        <f t="shared" ca="1" si="34"/>
        <v>26.406509021639742</v>
      </c>
      <c r="AH265" s="484">
        <f t="shared" ca="1" si="35"/>
        <v>38.692416260130003</v>
      </c>
      <c r="AI265" s="484">
        <f t="shared" ca="1" si="36"/>
        <v>22.060659665249922</v>
      </c>
      <c r="AJ265" s="485">
        <f t="shared" ca="1" si="37"/>
        <v>23.453429044356618</v>
      </c>
      <c r="AK265" s="627">
        <f t="shared" ca="1" si="40"/>
        <v>27.653253497844069</v>
      </c>
      <c r="AL265" s="482"/>
    </row>
    <row r="266" spans="27:38" x14ac:dyDescent="0.2">
      <c r="AA266" s="483">
        <f t="shared" ca="1" si="38"/>
        <v>10</v>
      </c>
      <c r="AB266" s="484">
        <f t="shared" ca="1" si="31"/>
        <v>4.9467360247874907</v>
      </c>
      <c r="AC266" s="484">
        <f t="shared" ca="1" si="32"/>
        <v>2.2271399999999999</v>
      </c>
      <c r="AD266" s="484">
        <f t="shared" ca="1" si="39"/>
        <v>588</v>
      </c>
      <c r="AE266" s="485">
        <f t="shared" ca="1" si="33"/>
        <v>69.105999999999995</v>
      </c>
      <c r="AF266" s="482"/>
      <c r="AG266" s="483">
        <f t="shared" ca="1" si="34"/>
        <v>27.183101523925632</v>
      </c>
      <c r="AH266" s="484">
        <f t="shared" ca="1" si="35"/>
        <v>53.66373417711047</v>
      </c>
      <c r="AI266" s="484">
        <f t="shared" ca="1" si="36"/>
        <v>42.87082442142335</v>
      </c>
      <c r="AJ266" s="485">
        <f t="shared" ca="1" si="37"/>
        <v>40.057798637856472</v>
      </c>
      <c r="AK266" s="627">
        <f t="shared" ca="1" si="40"/>
        <v>40.943864690078982</v>
      </c>
      <c r="AL266" s="482"/>
    </row>
    <row r="267" spans="27:38" x14ac:dyDescent="0.2">
      <c r="AA267" s="483">
        <f t="shared" ca="1" si="38"/>
        <v>16</v>
      </c>
      <c r="AB267" s="484">
        <f t="shared" ca="1" si="31"/>
        <v>18.379198818405975</v>
      </c>
      <c r="AC267" s="484">
        <f t="shared" ca="1" si="32"/>
        <v>3.5718719999999999</v>
      </c>
      <c r="AD267" s="484">
        <f t="shared" ca="1" si="39"/>
        <v>137</v>
      </c>
      <c r="AE267" s="485">
        <f t="shared" ca="1" si="33"/>
        <v>12.541599999999988</v>
      </c>
      <c r="AF267" s="482"/>
      <c r="AG267" s="483">
        <f t="shared" ca="1" si="34"/>
        <v>23.609191130752819</v>
      </c>
      <c r="AH267" s="484">
        <f t="shared" ca="1" si="35"/>
        <v>35.936972600414151</v>
      </c>
      <c r="AI267" s="484">
        <f t="shared" ca="1" si="36"/>
        <v>14.31973369359463</v>
      </c>
      <c r="AJ267" s="485">
        <f t="shared" ca="1" si="37"/>
        <v>9.5690512683910427</v>
      </c>
      <c r="AK267" s="627">
        <f t="shared" ca="1" si="40"/>
        <v>20.858737173288162</v>
      </c>
      <c r="AL267" s="482"/>
    </row>
    <row r="268" spans="27:38" x14ac:dyDescent="0.2">
      <c r="AA268" s="483">
        <f t="shared" ca="1" si="38"/>
        <v>16</v>
      </c>
      <c r="AB268" s="484">
        <f t="shared" ca="1" si="31"/>
        <v>18.379198818405975</v>
      </c>
      <c r="AC268" s="484">
        <f t="shared" ca="1" si="32"/>
        <v>3.5718719999999999</v>
      </c>
      <c r="AD268" s="484">
        <f t="shared" ca="1" si="39"/>
        <v>931</v>
      </c>
      <c r="AE268" s="485">
        <f t="shared" ca="1" si="33"/>
        <v>12.541599999999988</v>
      </c>
      <c r="AF268" s="482"/>
      <c r="AG268" s="483">
        <f t="shared" ca="1" si="34"/>
        <v>29.901175281926243</v>
      </c>
      <c r="AH268" s="484">
        <f t="shared" ca="1" si="35"/>
        <v>37.676876129333777</v>
      </c>
      <c r="AI268" s="484">
        <f t="shared" ca="1" si="36"/>
        <v>22.842952224530318</v>
      </c>
      <c r="AJ268" s="485">
        <f t="shared" ca="1" si="37"/>
        <v>32.104518068391044</v>
      </c>
      <c r="AK268" s="627">
        <f t="shared" ca="1" si="40"/>
        <v>30.631380426045347</v>
      </c>
      <c r="AL268" s="482"/>
    </row>
    <row r="269" spans="27:38" x14ac:dyDescent="0.2">
      <c r="AA269" s="483">
        <f t="shared" ca="1" si="38"/>
        <v>13</v>
      </c>
      <c r="AB269" s="484">
        <f t="shared" ca="1" si="31"/>
        <v>10.42900695605948</v>
      </c>
      <c r="AC269" s="484">
        <f t="shared" ca="1" si="32"/>
        <v>2.8995060000000001</v>
      </c>
      <c r="AD269" s="484">
        <f t="shared" ca="1" si="39"/>
        <v>321</v>
      </c>
      <c r="AE269" s="485">
        <f t="shared" ca="1" si="33"/>
        <v>40.823799999999991</v>
      </c>
      <c r="AF269" s="482"/>
      <c r="AG269" s="483">
        <f t="shared" ca="1" si="34"/>
        <v>25.067283175861018</v>
      </c>
      <c r="AH269" s="484">
        <f t="shared" ca="1" si="35"/>
        <v>42.922708625147443</v>
      </c>
      <c r="AI269" s="484">
        <f t="shared" ca="1" si="36"/>
        <v>28.14979597308351</v>
      </c>
      <c r="AJ269" s="485">
        <f t="shared" ca="1" si="37"/>
        <v>25.260489476039908</v>
      </c>
      <c r="AK269" s="627">
        <f t="shared" ca="1" si="40"/>
        <v>30.35006931253297</v>
      </c>
      <c r="AL269" s="482"/>
    </row>
    <row r="270" spans="27:38" x14ac:dyDescent="0.2">
      <c r="AA270" s="483">
        <f t="shared" ca="1" si="38"/>
        <v>12</v>
      </c>
      <c r="AB270" s="484">
        <f t="shared" ca="1" si="31"/>
        <v>8.3371886632508829</v>
      </c>
      <c r="AC270" s="484">
        <f t="shared" ca="1" si="32"/>
        <v>2.6753840000000002</v>
      </c>
      <c r="AD270" s="484">
        <f t="shared" ca="1" si="39"/>
        <v>656</v>
      </c>
      <c r="AE270" s="485">
        <f t="shared" ca="1" si="33"/>
        <v>50.251199999999983</v>
      </c>
      <c r="AF270" s="482"/>
      <c r="AG270" s="483">
        <f t="shared" ca="1" si="34"/>
        <v>27.721961627552574</v>
      </c>
      <c r="AH270" s="484">
        <f t="shared" ca="1" si="35"/>
        <v>46.848973460313083</v>
      </c>
      <c r="AI270" s="484">
        <f t="shared" ca="1" si="36"/>
        <v>35.697500365951839</v>
      </c>
      <c r="AJ270" s="485">
        <f t="shared" ca="1" si="37"/>
        <v>37.523111939483563</v>
      </c>
      <c r="AK270" s="627">
        <f t="shared" ca="1" si="40"/>
        <v>36.947886848325261</v>
      </c>
      <c r="AL270" s="482"/>
    </row>
    <row r="271" spans="27:38" x14ac:dyDescent="0.2">
      <c r="AA271" s="483">
        <f t="shared" ca="1" si="38"/>
        <v>15</v>
      </c>
      <c r="AB271" s="484">
        <f t="shared" ca="1" si="31"/>
        <v>15.443787118411857</v>
      </c>
      <c r="AC271" s="484">
        <f t="shared" ca="1" si="32"/>
        <v>3.34775</v>
      </c>
      <c r="AD271" s="484">
        <f t="shared" ca="1" si="39"/>
        <v>579</v>
      </c>
      <c r="AE271" s="485">
        <f t="shared" ca="1" si="33"/>
        <v>21.968999999999994</v>
      </c>
      <c r="AF271" s="482"/>
      <c r="AG271" s="483">
        <f t="shared" ca="1" si="34"/>
        <v>27.111781804327947</v>
      </c>
      <c r="AH271" s="484">
        <f t="shared" ca="1" si="35"/>
        <v>38.909265137045132</v>
      </c>
      <c r="AI271" s="484">
        <f t="shared" ca="1" si="36"/>
        <v>23.016033027029867</v>
      </c>
      <c r="AJ271" s="485">
        <f t="shared" ca="1" si="37"/>
        <v>25.979444844356617</v>
      </c>
      <c r="AK271" s="627">
        <f t="shared" ca="1" si="40"/>
        <v>28.754131203189889</v>
      </c>
      <c r="AL271" s="482"/>
    </row>
    <row r="272" spans="27:38" x14ac:dyDescent="0.2">
      <c r="AA272" s="483">
        <f t="shared" ca="1" si="38"/>
        <v>7</v>
      </c>
      <c r="AB272" s="484">
        <f t="shared" ca="1" si="31"/>
        <v>1.6910619505690725</v>
      </c>
      <c r="AC272" s="484">
        <f t="shared" ca="1" si="32"/>
        <v>1.5547739999999999</v>
      </c>
      <c r="AD272" s="484">
        <f t="shared" ca="1" si="39"/>
        <v>904</v>
      </c>
      <c r="AE272" s="485">
        <f t="shared" ca="1" si="33"/>
        <v>97.388199999999998</v>
      </c>
      <c r="AF272" s="482"/>
      <c r="AG272" s="483">
        <f t="shared" ca="1" si="34"/>
        <v>29.68721612313319</v>
      </c>
      <c r="AH272" s="484">
        <f t="shared" ca="1" si="35"/>
        <v>71.983231826572094</v>
      </c>
      <c r="AI272" s="484">
        <f t="shared" ca="1" si="36"/>
        <v>58.117844945349887</v>
      </c>
      <c r="AJ272" s="485">
        <f t="shared" ca="1" si="37"/>
        <v>53.313768624030473</v>
      </c>
      <c r="AK272" s="627">
        <f t="shared" ca="1" si="40"/>
        <v>53.275515379771413</v>
      </c>
      <c r="AL272" s="482"/>
    </row>
    <row r="273" spans="27:38" x14ac:dyDescent="0.2">
      <c r="AA273" s="483">
        <f t="shared" ca="1" si="38"/>
        <v>14</v>
      </c>
      <c r="AB273" s="484">
        <f t="shared" ca="1" si="31"/>
        <v>12.795667543366134</v>
      </c>
      <c r="AC273" s="484">
        <f t="shared" ca="1" si="32"/>
        <v>3.1236280000000001</v>
      </c>
      <c r="AD273" s="484">
        <f t="shared" ca="1" si="39"/>
        <v>828</v>
      </c>
      <c r="AE273" s="485">
        <f t="shared" ca="1" si="33"/>
        <v>31.3964</v>
      </c>
      <c r="AF273" s="482"/>
      <c r="AG273" s="483">
        <f t="shared" ca="1" si="34"/>
        <v>29.084960713197194</v>
      </c>
      <c r="AH273" s="484">
        <f t="shared" ca="1" si="35"/>
        <v>41.862904947834821</v>
      </c>
      <c r="AI273" s="484">
        <f t="shared" ca="1" si="36"/>
        <v>29.640567654582746</v>
      </c>
      <c r="AJ273" s="485">
        <f t="shared" ca="1" si="37"/>
        <v>36.533756681656115</v>
      </c>
      <c r="AK273" s="627">
        <f t="shared" ca="1" si="40"/>
        <v>34.28054749931772</v>
      </c>
      <c r="AL273" s="482"/>
    </row>
    <row r="274" spans="27:38" x14ac:dyDescent="0.2">
      <c r="AA274" s="483">
        <f t="shared" ca="1" si="38"/>
        <v>13</v>
      </c>
      <c r="AB274" s="484">
        <f t="shared" ca="1" si="31"/>
        <v>10.42900695605948</v>
      </c>
      <c r="AC274" s="484">
        <f t="shared" ca="1" si="32"/>
        <v>2.8995060000000001</v>
      </c>
      <c r="AD274" s="484">
        <f t="shared" ca="1" si="39"/>
        <v>474</v>
      </c>
      <c r="AE274" s="485">
        <f t="shared" ca="1" si="33"/>
        <v>40.823799999999991</v>
      </c>
      <c r="AF274" s="482"/>
      <c r="AG274" s="483">
        <f t="shared" ca="1" si="34"/>
        <v>26.27971840902164</v>
      </c>
      <c r="AH274" s="484">
        <f t="shared" ca="1" si="35"/>
        <v>43.383807976066834</v>
      </c>
      <c r="AI274" s="484">
        <f t="shared" ca="1" si="36"/>
        <v>29.792179392772628</v>
      </c>
      <c r="AJ274" s="485">
        <f t="shared" ca="1" si="37"/>
        <v>29.602966076039912</v>
      </c>
      <c r="AK274" s="627">
        <f t="shared" ca="1" si="40"/>
        <v>32.264667963475254</v>
      </c>
      <c r="AL274" s="482"/>
    </row>
    <row r="275" spans="27:38" x14ac:dyDescent="0.2">
      <c r="AA275" s="483">
        <f t="shared" ca="1" si="38"/>
        <v>15</v>
      </c>
      <c r="AB275" s="484">
        <f t="shared" ca="1" si="31"/>
        <v>15.443787118411857</v>
      </c>
      <c r="AC275" s="484">
        <f t="shared" ca="1" si="32"/>
        <v>3.34775</v>
      </c>
      <c r="AD275" s="484">
        <f t="shared" ca="1" si="39"/>
        <v>890</v>
      </c>
      <c r="AE275" s="485">
        <f t="shared" ca="1" si="33"/>
        <v>21.968999999999994</v>
      </c>
      <c r="AF275" s="482"/>
      <c r="AG275" s="483">
        <f t="shared" ca="1" si="34"/>
        <v>29.57627433709235</v>
      </c>
      <c r="AH275" s="484">
        <f t="shared" ca="1" si="35"/>
        <v>39.686485826312278</v>
      </c>
      <c r="AI275" s="484">
        <f t="shared" ca="1" si="36"/>
        <v>26.354472527182256</v>
      </c>
      <c r="AJ275" s="485">
        <f t="shared" ca="1" si="37"/>
        <v>34.806309044356624</v>
      </c>
      <c r="AK275" s="627">
        <f t="shared" ca="1" si="40"/>
        <v>32.605885433735878</v>
      </c>
      <c r="AL275" s="482"/>
    </row>
    <row r="276" spans="27:38" x14ac:dyDescent="0.2">
      <c r="AA276" s="483">
        <f t="shared" ca="1" si="38"/>
        <v>10</v>
      </c>
      <c r="AB276" s="484">
        <f t="shared" ca="1" si="31"/>
        <v>4.9467360247874907</v>
      </c>
      <c r="AC276" s="484">
        <f t="shared" ca="1" si="32"/>
        <v>2.2271399999999999</v>
      </c>
      <c r="AD276" s="484">
        <f t="shared" ca="1" si="39"/>
        <v>920</v>
      </c>
      <c r="AE276" s="485">
        <f t="shared" ca="1" si="33"/>
        <v>69.105999999999995</v>
      </c>
      <c r="AF276" s="482"/>
      <c r="AG276" s="483">
        <f t="shared" ca="1" si="34"/>
        <v>29.814006735751295</v>
      </c>
      <c r="AH276" s="484">
        <f t="shared" ca="1" si="35"/>
        <v>55.257023898733571</v>
      </c>
      <c r="AI276" s="484">
        <f t="shared" ca="1" si="36"/>
        <v>46.434689096827185</v>
      </c>
      <c r="AJ276" s="485">
        <f t="shared" ca="1" si="37"/>
        <v>49.480689037856479</v>
      </c>
      <c r="AK276" s="627">
        <f t="shared" ca="1" si="40"/>
        <v>45.246602192292137</v>
      </c>
      <c r="AL276" s="482"/>
    </row>
    <row r="277" spans="27:38" x14ac:dyDescent="0.2">
      <c r="AA277" s="483">
        <f t="shared" ca="1" si="38"/>
        <v>13</v>
      </c>
      <c r="AB277" s="484">
        <f t="shared" ca="1" si="31"/>
        <v>10.42900695605948</v>
      </c>
      <c r="AC277" s="484">
        <f t="shared" ca="1" si="32"/>
        <v>2.8995060000000001</v>
      </c>
      <c r="AD277" s="484">
        <f t="shared" ca="1" si="39"/>
        <v>209</v>
      </c>
      <c r="AE277" s="485">
        <f t="shared" ca="1" si="33"/>
        <v>40.823799999999991</v>
      </c>
      <c r="AF277" s="482"/>
      <c r="AG277" s="483">
        <f t="shared" ca="1" si="34"/>
        <v>24.179748887534288</v>
      </c>
      <c r="AH277" s="484">
        <f t="shared" ca="1" si="35"/>
        <v>42.591337462418238</v>
      </c>
      <c r="AI277" s="484">
        <f t="shared" ca="1" si="36"/>
        <v>26.947528371742454</v>
      </c>
      <c r="AJ277" s="485">
        <f t="shared" ca="1" si="37"/>
        <v>22.081683076039912</v>
      </c>
      <c r="AK277" s="627">
        <f t="shared" ca="1" si="40"/>
        <v>28.950074449433721</v>
      </c>
      <c r="AL277" s="482"/>
    </row>
    <row r="278" spans="27:38" x14ac:dyDescent="0.2">
      <c r="AA278" s="483">
        <f t="shared" ca="1" si="38"/>
        <v>7</v>
      </c>
      <c r="AB278" s="484">
        <f t="shared" ca="1" si="31"/>
        <v>1.6910619505690725</v>
      </c>
      <c r="AC278" s="484">
        <f t="shared" ca="1" si="32"/>
        <v>1.5547739999999999</v>
      </c>
      <c r="AD278" s="484">
        <f t="shared" ca="1" si="39"/>
        <v>912</v>
      </c>
      <c r="AE278" s="485">
        <f t="shared" ca="1" si="33"/>
        <v>97.388199999999998</v>
      </c>
      <c r="AF278" s="482"/>
      <c r="AG278" s="483">
        <f t="shared" ca="1" si="34"/>
        <v>29.750611429442245</v>
      </c>
      <c r="AH278" s="484">
        <f t="shared" ca="1" si="35"/>
        <v>72.050381809331824</v>
      </c>
      <c r="AI278" s="484">
        <f t="shared" ca="1" si="36"/>
        <v>58.203721202588532</v>
      </c>
      <c r="AJ278" s="485">
        <f t="shared" ca="1" si="37"/>
        <v>53.540826224030482</v>
      </c>
      <c r="AK278" s="627">
        <f t="shared" ca="1" si="40"/>
        <v>53.386385166348276</v>
      </c>
      <c r="AL278" s="482"/>
    </row>
    <row r="279" spans="27:38" x14ac:dyDescent="0.2">
      <c r="AA279" s="483">
        <f t="shared" ca="1" si="38"/>
        <v>14</v>
      </c>
      <c r="AB279" s="484">
        <f t="shared" ca="1" si="31"/>
        <v>12.795667543366134</v>
      </c>
      <c r="AC279" s="484">
        <f t="shared" ca="1" si="32"/>
        <v>3.1236280000000001</v>
      </c>
      <c r="AD279" s="484">
        <f t="shared" ca="1" si="39"/>
        <v>330</v>
      </c>
      <c r="AE279" s="485">
        <f t="shared" ca="1" si="33"/>
        <v>31.3964</v>
      </c>
      <c r="AF279" s="482"/>
      <c r="AG279" s="483">
        <f t="shared" ca="1" si="34"/>
        <v>25.138602895458703</v>
      </c>
      <c r="AH279" s="484">
        <f t="shared" ca="1" si="35"/>
        <v>40.496545473081319</v>
      </c>
      <c r="AI279" s="484">
        <f t="shared" ca="1" si="36"/>
        <v>24.29477064147699</v>
      </c>
      <c r="AJ279" s="485">
        <f t="shared" ca="1" si="37"/>
        <v>22.399421081656115</v>
      </c>
      <c r="AK279" s="627">
        <f t="shared" ca="1" si="40"/>
        <v>28.082335022918283</v>
      </c>
      <c r="AL279" s="482"/>
    </row>
    <row r="280" spans="27:38" x14ac:dyDescent="0.2">
      <c r="AA280" s="483">
        <f t="shared" ca="1" si="38"/>
        <v>16</v>
      </c>
      <c r="AB280" s="484">
        <f t="shared" ca="1" si="31"/>
        <v>18.379198818405975</v>
      </c>
      <c r="AC280" s="484">
        <f t="shared" ca="1" si="32"/>
        <v>3.5718719999999999</v>
      </c>
      <c r="AD280" s="484">
        <f t="shared" ca="1" si="39"/>
        <v>142</v>
      </c>
      <c r="AE280" s="485">
        <f t="shared" ca="1" si="33"/>
        <v>12.541599999999988</v>
      </c>
      <c r="AF280" s="482"/>
      <c r="AG280" s="483">
        <f t="shared" ca="1" si="34"/>
        <v>23.648813197195977</v>
      </c>
      <c r="AH280" s="484">
        <f t="shared" ca="1" si="35"/>
        <v>35.947426241495791</v>
      </c>
      <c r="AI280" s="484">
        <f t="shared" ca="1" si="36"/>
        <v>14.373406354368786</v>
      </c>
      <c r="AJ280" s="485">
        <f t="shared" ca="1" si="37"/>
        <v>9.710962268391043</v>
      </c>
      <c r="AK280" s="627">
        <f t="shared" ca="1" si="40"/>
        <v>20.920152015362898</v>
      </c>
      <c r="AL280" s="482"/>
    </row>
    <row r="281" spans="27:38" x14ac:dyDescent="0.2">
      <c r="AA281" s="483">
        <f t="shared" ca="1" si="38"/>
        <v>16</v>
      </c>
      <c r="AB281" s="484">
        <f t="shared" ca="1" si="31"/>
        <v>18.379198818405975</v>
      </c>
      <c r="AC281" s="484">
        <f t="shared" ca="1" si="32"/>
        <v>3.5718719999999999</v>
      </c>
      <c r="AD281" s="484">
        <f t="shared" ca="1" si="39"/>
        <v>184</v>
      </c>
      <c r="AE281" s="485">
        <f t="shared" ca="1" si="33"/>
        <v>12.541599999999988</v>
      </c>
      <c r="AF281" s="482"/>
      <c r="AG281" s="483">
        <f t="shared" ca="1" si="34"/>
        <v>23.981638555318501</v>
      </c>
      <c r="AH281" s="484">
        <f t="shared" ca="1" si="35"/>
        <v>36.035477519493362</v>
      </c>
      <c r="AI281" s="484">
        <f t="shared" ca="1" si="36"/>
        <v>14.824256704871681</v>
      </c>
      <c r="AJ281" s="485">
        <f t="shared" ca="1" si="37"/>
        <v>10.903014668391043</v>
      </c>
      <c r="AK281" s="627">
        <f t="shared" ca="1" si="40"/>
        <v>21.436096862018648</v>
      </c>
      <c r="AL281" s="482"/>
    </row>
    <row r="282" spans="27:38" x14ac:dyDescent="0.2">
      <c r="AA282" s="483">
        <f t="shared" ca="1" si="38"/>
        <v>6</v>
      </c>
      <c r="AB282" s="484">
        <f t="shared" ca="1" si="31"/>
        <v>1.0396976224741601</v>
      </c>
      <c r="AC282" s="484">
        <f t="shared" ca="1" si="32"/>
        <v>1.3306519999999999</v>
      </c>
      <c r="AD282" s="484">
        <f t="shared" ca="1" si="39"/>
        <v>436</v>
      </c>
      <c r="AE282" s="485">
        <f t="shared" ca="1" si="33"/>
        <v>106.81559999999999</v>
      </c>
      <c r="AF282" s="482"/>
      <c r="AG282" s="483">
        <f t="shared" ca="1" si="34"/>
        <v>25.978590704053644</v>
      </c>
      <c r="AH282" s="484">
        <f t="shared" ca="1" si="35"/>
        <v>75.533261279148789</v>
      </c>
      <c r="AI282" s="484">
        <f t="shared" ca="1" si="36"/>
        <v>57.045720017889053</v>
      </c>
      <c r="AJ282" s="485">
        <f t="shared" ca="1" si="37"/>
        <v>40.888640212997196</v>
      </c>
      <c r="AK282" s="627">
        <f t="shared" ca="1" si="40"/>
        <v>49.861553053522172</v>
      </c>
      <c r="AL282" s="482"/>
    </row>
    <row r="283" spans="27:38" x14ac:dyDescent="0.2">
      <c r="AA283" s="483">
        <f t="shared" ca="1" si="38"/>
        <v>15</v>
      </c>
      <c r="AB283" s="484">
        <f t="shared" ca="1" si="31"/>
        <v>15.443787118411857</v>
      </c>
      <c r="AC283" s="484">
        <f t="shared" ca="1" si="32"/>
        <v>3.34775</v>
      </c>
      <c r="AD283" s="484">
        <f t="shared" ca="1" si="39"/>
        <v>162</v>
      </c>
      <c r="AE283" s="485">
        <f t="shared" ca="1" si="33"/>
        <v>21.968999999999994</v>
      </c>
      <c r="AF283" s="482"/>
      <c r="AG283" s="483">
        <f t="shared" ca="1" si="34"/>
        <v>23.807301462968606</v>
      </c>
      <c r="AH283" s="484">
        <f t="shared" ca="1" si="35"/>
        <v>37.913691369853204</v>
      </c>
      <c r="AI283" s="484">
        <f t="shared" ca="1" si="36"/>
        <v>18.539733118465406</v>
      </c>
      <c r="AJ283" s="485">
        <f t="shared" ca="1" si="37"/>
        <v>14.144067444356615</v>
      </c>
      <c r="AK283" s="627">
        <f t="shared" ca="1" si="40"/>
        <v>23.601198348910955</v>
      </c>
      <c r="AL283" s="482"/>
    </row>
    <row r="284" spans="27:38" x14ac:dyDescent="0.2">
      <c r="AA284" s="483">
        <f t="shared" ca="1" si="38"/>
        <v>12</v>
      </c>
      <c r="AB284" s="484">
        <f t="shared" ref="AB284:AB329" ca="1" si="41">10^(-2.729937+1.909478*LOG(AA284)+1.085681*LOG(3.281*(1.3+EXP(4.5503-11.4582*(AA284*2.54)^-0.5994))))/$G$30</f>
        <v>8.3371886632508829</v>
      </c>
      <c r="AC284" s="484">
        <f t="shared" ref="AC284:AC329" ca="1" si="42">-0.01408+0.224122*AA284</f>
        <v>2.6753840000000002</v>
      </c>
      <c r="AD284" s="484">
        <f t="shared" ca="1" si="39"/>
        <v>837</v>
      </c>
      <c r="AE284" s="485">
        <f t="shared" ref="AE284:AE329" ca="1" si="43">-9.4274*AA284+163.38</f>
        <v>50.251199999999983</v>
      </c>
      <c r="AF284" s="482"/>
      <c r="AG284" s="483">
        <f t="shared" ref="AG284:AG329" ca="1" si="44">20.3761+0.1734*35.86/3.281+0.0244*33.92/3.281+0.026*AD284/3.281</f>
        <v>29.15628043279488</v>
      </c>
      <c r="AH284" s="484">
        <f t="shared" ref="AH284:AH329" ca="1" si="45">(1/(0.0003089+0.0000001165*(AD284/3.281)-0.0000003168*(100/3.281)-0.0000001696*(AD284/3.281)-0.000001496*(AE284)))/100</f>
        <v>47.500854526665577</v>
      </c>
      <c r="AI284" s="484">
        <f t="shared" ref="AI284:AI329" ca="1" si="46">(714.1783+1.4775*(100/3.281)+3.522*(AD284/3.281)+41.9165*(AE284))/100</f>
        <v>37.640450685976219</v>
      </c>
      <c r="AJ284" s="485">
        <f t="shared" ref="AJ284:AJ329" ca="1" si="47">(((11.2+0.853*141.1/3.281)+(103+2.66*AD284+0.0384*AD284*AF284)+(236+1550*0.96-4540*0.96*AB284/35.315)+(21.9+3.04*101.7/3.281)+(36.8+0.65*141.1/3.281)+(-162+852*0.96+5105*0.83*0.021))*(1+0.067))/100</f>
        <v>42.660290139483557</v>
      </c>
      <c r="AK284" s="627">
        <f t="shared" ca="1" si="40"/>
        <v>39.239468946230055</v>
      </c>
      <c r="AL284" s="482"/>
    </row>
    <row r="285" spans="27:38" x14ac:dyDescent="0.2">
      <c r="AA285" s="483">
        <f t="shared" ref="AA285:AA329" ca="1" si="48">RANDBETWEEN(6,16)</f>
        <v>10</v>
      </c>
      <c r="AB285" s="484">
        <f t="shared" ca="1" si="41"/>
        <v>4.9467360247874907</v>
      </c>
      <c r="AC285" s="484">
        <f t="shared" ca="1" si="42"/>
        <v>2.2271399999999999</v>
      </c>
      <c r="AD285" s="484">
        <f t="shared" ref="AD285:AD329" ca="1" si="49">RANDBETWEEN(100,1000)</f>
        <v>714</v>
      </c>
      <c r="AE285" s="485">
        <f t="shared" ca="1" si="43"/>
        <v>69.105999999999995</v>
      </c>
      <c r="AF285" s="482"/>
      <c r="AG285" s="483">
        <f t="shared" ca="1" si="44"/>
        <v>28.181577598293202</v>
      </c>
      <c r="AH285" s="484">
        <f t="shared" ca="1" si="45"/>
        <v>54.257478309703899</v>
      </c>
      <c r="AI285" s="484">
        <f t="shared" ca="1" si="46"/>
        <v>44.223375472932027</v>
      </c>
      <c r="AJ285" s="485">
        <f t="shared" ca="1" si="47"/>
        <v>43.633955837856462</v>
      </c>
      <c r="AK285" s="627">
        <f t="shared" ref="AK285:AK329" ca="1" si="50">AVERAGE(AG285:AJ285)</f>
        <v>42.574096804696396</v>
      </c>
      <c r="AL285" s="482"/>
    </row>
    <row r="286" spans="27:38" x14ac:dyDescent="0.2">
      <c r="AA286" s="483">
        <f t="shared" ca="1" si="48"/>
        <v>15</v>
      </c>
      <c r="AB286" s="484">
        <f t="shared" ca="1" si="41"/>
        <v>15.443787118411857</v>
      </c>
      <c r="AC286" s="484">
        <f t="shared" ca="1" si="42"/>
        <v>3.34775</v>
      </c>
      <c r="AD286" s="484">
        <f t="shared" ca="1" si="49"/>
        <v>481</v>
      </c>
      <c r="AE286" s="485">
        <f t="shared" ca="1" si="43"/>
        <v>21.968999999999994</v>
      </c>
      <c r="AF286" s="482"/>
      <c r="AG286" s="483">
        <f t="shared" ca="1" si="44"/>
        <v>26.33518930204206</v>
      </c>
      <c r="AH286" s="484">
        <f t="shared" ca="1" si="45"/>
        <v>38.670622216726109</v>
      </c>
      <c r="AI286" s="484">
        <f t="shared" ca="1" si="46"/>
        <v>21.964048875856442</v>
      </c>
      <c r="AJ286" s="485">
        <f t="shared" ca="1" si="47"/>
        <v>23.197989244356613</v>
      </c>
      <c r="AK286" s="627">
        <f t="shared" ca="1" si="50"/>
        <v>27.54196240974531</v>
      </c>
      <c r="AL286" s="482"/>
    </row>
    <row r="287" spans="27:38" x14ac:dyDescent="0.2">
      <c r="AA287" s="483">
        <f t="shared" ca="1" si="48"/>
        <v>12</v>
      </c>
      <c r="AB287" s="484">
        <f t="shared" ca="1" si="41"/>
        <v>8.3371886632508829</v>
      </c>
      <c r="AC287" s="484">
        <f t="shared" ca="1" si="42"/>
        <v>2.6753840000000002</v>
      </c>
      <c r="AD287" s="484">
        <f t="shared" ca="1" si="49"/>
        <v>384</v>
      </c>
      <c r="AE287" s="485">
        <f t="shared" ca="1" si="43"/>
        <v>50.251199999999983</v>
      </c>
      <c r="AF287" s="482"/>
      <c r="AG287" s="483">
        <f t="shared" ca="1" si="44"/>
        <v>25.566521213044805</v>
      </c>
      <c r="AH287" s="484">
        <f t="shared" ca="1" si="45"/>
        <v>45.902318113162998</v>
      </c>
      <c r="AI287" s="484">
        <f t="shared" ca="1" si="46"/>
        <v>32.777707619837848</v>
      </c>
      <c r="AJ287" s="485">
        <f t="shared" ca="1" si="47"/>
        <v>29.803153539483564</v>
      </c>
      <c r="AK287" s="627">
        <f t="shared" ca="1" si="50"/>
        <v>33.5124251213823</v>
      </c>
      <c r="AL287" s="482"/>
    </row>
    <row r="288" spans="27:38" x14ac:dyDescent="0.2">
      <c r="AA288" s="483">
        <f t="shared" ca="1" si="48"/>
        <v>16</v>
      </c>
      <c r="AB288" s="484">
        <f t="shared" ca="1" si="41"/>
        <v>18.379198818405975</v>
      </c>
      <c r="AC288" s="484">
        <f t="shared" ca="1" si="42"/>
        <v>3.5718719999999999</v>
      </c>
      <c r="AD288" s="484">
        <f t="shared" ca="1" si="49"/>
        <v>634</v>
      </c>
      <c r="AE288" s="485">
        <f t="shared" ca="1" si="43"/>
        <v>12.541599999999988</v>
      </c>
      <c r="AF288" s="482"/>
      <c r="AG288" s="483">
        <f t="shared" ca="1" si="44"/>
        <v>27.547624535202683</v>
      </c>
      <c r="AH288" s="484">
        <f t="shared" ca="1" si="45"/>
        <v>37.006683278801148</v>
      </c>
      <c r="AI288" s="484">
        <f t="shared" ca="1" si="46"/>
        <v>19.654796174545559</v>
      </c>
      <c r="AJ288" s="485">
        <f t="shared" ca="1" si="47"/>
        <v>23.675004668391043</v>
      </c>
      <c r="AK288" s="627">
        <f t="shared" ca="1" si="50"/>
        <v>26.97102716423511</v>
      </c>
      <c r="AL288" s="482"/>
    </row>
    <row r="289" spans="27:38" x14ac:dyDescent="0.2">
      <c r="AA289" s="483">
        <f t="shared" ca="1" si="48"/>
        <v>9</v>
      </c>
      <c r="AB289" s="484">
        <f t="shared" ca="1" si="41"/>
        <v>3.6293567322283229</v>
      </c>
      <c r="AC289" s="484">
        <f t="shared" ca="1" si="42"/>
        <v>2.003018</v>
      </c>
      <c r="AD289" s="484">
        <f t="shared" ca="1" si="49"/>
        <v>655</v>
      </c>
      <c r="AE289" s="485">
        <f t="shared" ca="1" si="43"/>
        <v>78.533399999999986</v>
      </c>
      <c r="AF289" s="482"/>
      <c r="AG289" s="483">
        <f t="shared" ca="1" si="44"/>
        <v>27.714037214263943</v>
      </c>
      <c r="AH289" s="484">
        <f t="shared" ca="1" si="45"/>
        <v>58.425595532726568</v>
      </c>
      <c r="AI289" s="484">
        <f t="shared" ca="1" si="46"/>
        <v>47.541674196797011</v>
      </c>
      <c r="AJ289" s="485">
        <f t="shared" ca="1" si="47"/>
        <v>43.694180928008564</v>
      </c>
      <c r="AK289" s="627">
        <f t="shared" ca="1" si="50"/>
        <v>44.343871967949021</v>
      </c>
      <c r="AL289" s="482"/>
    </row>
    <row r="290" spans="27:38" x14ac:dyDescent="0.2">
      <c r="AA290" s="483">
        <f t="shared" ca="1" si="48"/>
        <v>15</v>
      </c>
      <c r="AB290" s="484">
        <f t="shared" ca="1" si="41"/>
        <v>15.443787118411857</v>
      </c>
      <c r="AC290" s="484">
        <f t="shared" ca="1" si="42"/>
        <v>3.34775</v>
      </c>
      <c r="AD290" s="484">
        <f t="shared" ca="1" si="49"/>
        <v>164</v>
      </c>
      <c r="AE290" s="485">
        <f t="shared" ca="1" si="43"/>
        <v>21.968999999999994</v>
      </c>
      <c r="AF290" s="482"/>
      <c r="AG290" s="483">
        <f t="shared" ca="1" si="44"/>
        <v>23.823150289545872</v>
      </c>
      <c r="AH290" s="484">
        <f t="shared" ca="1" si="45"/>
        <v>37.918344698509351</v>
      </c>
      <c r="AI290" s="484">
        <f t="shared" ca="1" si="46"/>
        <v>18.561202182775066</v>
      </c>
      <c r="AJ290" s="485">
        <f t="shared" ca="1" si="47"/>
        <v>14.200831844356617</v>
      </c>
      <c r="AK290" s="627">
        <f t="shared" ca="1" si="50"/>
        <v>23.625882253796725</v>
      </c>
      <c r="AL290" s="482"/>
    </row>
    <row r="291" spans="27:38" x14ac:dyDescent="0.2">
      <c r="AA291" s="483">
        <f t="shared" ca="1" si="48"/>
        <v>16</v>
      </c>
      <c r="AB291" s="484">
        <f t="shared" ca="1" si="41"/>
        <v>18.379198818405975</v>
      </c>
      <c r="AC291" s="484">
        <f t="shared" ca="1" si="42"/>
        <v>3.5718719999999999</v>
      </c>
      <c r="AD291" s="484">
        <f t="shared" ca="1" si="49"/>
        <v>912</v>
      </c>
      <c r="AE291" s="485">
        <f t="shared" ca="1" si="43"/>
        <v>12.541599999999988</v>
      </c>
      <c r="AF291" s="482"/>
      <c r="AG291" s="483">
        <f t="shared" ca="1" si="44"/>
        <v>29.750611429442245</v>
      </c>
      <c r="AH291" s="484">
        <f t="shared" ca="1" si="45"/>
        <v>37.63327589701575</v>
      </c>
      <c r="AI291" s="484">
        <f t="shared" ca="1" si="46"/>
        <v>22.638996113588536</v>
      </c>
      <c r="AJ291" s="485">
        <f t="shared" ca="1" si="47"/>
        <v>31.565256268391046</v>
      </c>
      <c r="AK291" s="627">
        <f t="shared" ca="1" si="50"/>
        <v>30.397034927109395</v>
      </c>
      <c r="AL291" s="482"/>
    </row>
    <row r="292" spans="27:38" x14ac:dyDescent="0.2">
      <c r="AA292" s="483">
        <f t="shared" ca="1" si="48"/>
        <v>6</v>
      </c>
      <c r="AB292" s="484">
        <f t="shared" ca="1" si="41"/>
        <v>1.0396976224741601</v>
      </c>
      <c r="AC292" s="484">
        <f t="shared" ca="1" si="42"/>
        <v>1.3306519999999999</v>
      </c>
      <c r="AD292" s="484">
        <f t="shared" ca="1" si="49"/>
        <v>226</v>
      </c>
      <c r="AE292" s="485">
        <f t="shared" ca="1" si="43"/>
        <v>106.81559999999999</v>
      </c>
      <c r="AF292" s="482"/>
      <c r="AG292" s="483">
        <f t="shared" ca="1" si="44"/>
        <v>24.314463913441024</v>
      </c>
      <c r="AH292" s="484">
        <f t="shared" ca="1" si="45"/>
        <v>73.642764655252037</v>
      </c>
      <c r="AI292" s="484">
        <f t="shared" ca="1" si="46"/>
        <v>54.791468265374576</v>
      </c>
      <c r="AJ292" s="485">
        <f t="shared" ca="1" si="47"/>
        <v>34.928378212997188</v>
      </c>
      <c r="AK292" s="627">
        <f t="shared" ca="1" si="50"/>
        <v>46.919268761766205</v>
      </c>
      <c r="AL292" s="482"/>
    </row>
    <row r="293" spans="27:38" x14ac:dyDescent="0.2">
      <c r="AA293" s="483">
        <f t="shared" ca="1" si="48"/>
        <v>9</v>
      </c>
      <c r="AB293" s="484">
        <f t="shared" ca="1" si="41"/>
        <v>3.6293567322283229</v>
      </c>
      <c r="AC293" s="484">
        <f t="shared" ca="1" si="42"/>
        <v>2.003018</v>
      </c>
      <c r="AD293" s="484">
        <f t="shared" ca="1" si="49"/>
        <v>167</v>
      </c>
      <c r="AE293" s="485">
        <f t="shared" ca="1" si="43"/>
        <v>78.533399999999986</v>
      </c>
      <c r="AF293" s="482"/>
      <c r="AG293" s="483">
        <f t="shared" ca="1" si="44"/>
        <v>23.846923529411765</v>
      </c>
      <c r="AH293" s="484">
        <f t="shared" ca="1" si="45"/>
        <v>55.848543927702032</v>
      </c>
      <c r="AI293" s="484">
        <f t="shared" ca="1" si="46"/>
        <v>42.303222505239553</v>
      </c>
      <c r="AJ293" s="485">
        <f t="shared" ca="1" si="47"/>
        <v>29.843667328008564</v>
      </c>
      <c r="AK293" s="627">
        <f t="shared" ca="1" si="50"/>
        <v>37.960589322590479</v>
      </c>
      <c r="AL293" s="482"/>
    </row>
    <row r="294" spans="27:38" x14ac:dyDescent="0.2">
      <c r="AA294" s="483">
        <f t="shared" ca="1" si="48"/>
        <v>12</v>
      </c>
      <c r="AB294" s="484">
        <f t="shared" ca="1" si="41"/>
        <v>8.3371886632508829</v>
      </c>
      <c r="AC294" s="484">
        <f t="shared" ca="1" si="42"/>
        <v>2.6753840000000002</v>
      </c>
      <c r="AD294" s="484">
        <f t="shared" ca="1" si="49"/>
        <v>392</v>
      </c>
      <c r="AE294" s="485">
        <f t="shared" ca="1" si="43"/>
        <v>50.251199999999983</v>
      </c>
      <c r="AF294" s="482"/>
      <c r="AG294" s="483">
        <f t="shared" ca="1" si="44"/>
        <v>25.629916519353856</v>
      </c>
      <c r="AH294" s="484">
        <f t="shared" ca="1" si="45"/>
        <v>45.929614533465511</v>
      </c>
      <c r="AI294" s="484">
        <f t="shared" ca="1" si="46"/>
        <v>32.863583877076493</v>
      </c>
      <c r="AJ294" s="485">
        <f t="shared" ca="1" si="47"/>
        <v>30.030211139483558</v>
      </c>
      <c r="AK294" s="627">
        <f t="shared" ca="1" si="50"/>
        <v>33.613331517344854</v>
      </c>
      <c r="AL294" s="482"/>
    </row>
    <row r="295" spans="27:38" x14ac:dyDescent="0.2">
      <c r="AA295" s="483">
        <f t="shared" ca="1" si="48"/>
        <v>15</v>
      </c>
      <c r="AB295" s="484">
        <f t="shared" ca="1" si="41"/>
        <v>15.443787118411857</v>
      </c>
      <c r="AC295" s="484">
        <f t="shared" ca="1" si="42"/>
        <v>3.34775</v>
      </c>
      <c r="AD295" s="484">
        <f t="shared" ca="1" si="49"/>
        <v>772</v>
      </c>
      <c r="AE295" s="485">
        <f t="shared" ca="1" si="43"/>
        <v>21.968999999999994</v>
      </c>
      <c r="AF295" s="482"/>
      <c r="AG295" s="483">
        <f t="shared" ca="1" si="44"/>
        <v>28.641193569033831</v>
      </c>
      <c r="AH295" s="484">
        <f t="shared" ca="1" si="45"/>
        <v>39.387963737389519</v>
      </c>
      <c r="AI295" s="484">
        <f t="shared" ca="1" si="46"/>
        <v>25.087797732912218</v>
      </c>
      <c r="AJ295" s="485">
        <f t="shared" ca="1" si="47"/>
        <v>31.457209444356618</v>
      </c>
      <c r="AK295" s="627">
        <f t="shared" ca="1" si="50"/>
        <v>31.143541120923047</v>
      </c>
      <c r="AL295" s="482"/>
    </row>
    <row r="296" spans="27:38" x14ac:dyDescent="0.2">
      <c r="AA296" s="483">
        <f t="shared" ca="1" si="48"/>
        <v>9</v>
      </c>
      <c r="AB296" s="484">
        <f t="shared" ca="1" si="41"/>
        <v>3.6293567322283229</v>
      </c>
      <c r="AC296" s="484">
        <f t="shared" ca="1" si="42"/>
        <v>2.003018</v>
      </c>
      <c r="AD296" s="484">
        <f t="shared" ca="1" si="49"/>
        <v>143</v>
      </c>
      <c r="AE296" s="485">
        <f t="shared" ca="1" si="43"/>
        <v>78.533399999999986</v>
      </c>
      <c r="AF296" s="482"/>
      <c r="AG296" s="483">
        <f t="shared" ca="1" si="44"/>
        <v>23.656737610484608</v>
      </c>
      <c r="AH296" s="484">
        <f t="shared" ca="1" si="45"/>
        <v>55.727656213700939</v>
      </c>
      <c r="AI296" s="484">
        <f t="shared" ca="1" si="46"/>
        <v>42.04559373352361</v>
      </c>
      <c r="AJ296" s="485">
        <f t="shared" ca="1" si="47"/>
        <v>29.162494528008562</v>
      </c>
      <c r="AK296" s="627">
        <f t="shared" ca="1" si="50"/>
        <v>37.648120521429426</v>
      </c>
      <c r="AL296" s="482"/>
    </row>
    <row r="297" spans="27:38" x14ac:dyDescent="0.2">
      <c r="AA297" s="483">
        <f t="shared" ca="1" si="48"/>
        <v>7</v>
      </c>
      <c r="AB297" s="484">
        <f t="shared" ca="1" si="41"/>
        <v>1.6910619505690725</v>
      </c>
      <c r="AC297" s="484">
        <f t="shared" ca="1" si="42"/>
        <v>1.5547739999999999</v>
      </c>
      <c r="AD297" s="484">
        <f t="shared" ca="1" si="49"/>
        <v>277</v>
      </c>
      <c r="AE297" s="485">
        <f t="shared" ca="1" si="43"/>
        <v>97.388199999999998</v>
      </c>
      <c r="AF297" s="482"/>
      <c r="AG297" s="483">
        <f t="shared" ca="1" si="44"/>
        <v>24.718608991161233</v>
      </c>
      <c r="AH297" s="484">
        <f t="shared" ca="1" si="45"/>
        <v>67.083178517988841</v>
      </c>
      <c r="AI297" s="484">
        <f t="shared" ca="1" si="46"/>
        <v>51.387293284270946</v>
      </c>
      <c r="AJ297" s="485">
        <f t="shared" ca="1" si="47"/>
        <v>35.518129224030474</v>
      </c>
      <c r="AK297" s="627">
        <f t="shared" ca="1" si="50"/>
        <v>44.676802504362875</v>
      </c>
      <c r="AL297" s="482"/>
    </row>
    <row r="298" spans="27:38" x14ac:dyDescent="0.2">
      <c r="AA298" s="483">
        <f t="shared" ca="1" si="48"/>
        <v>8</v>
      </c>
      <c r="AB298" s="484">
        <f t="shared" ca="1" si="41"/>
        <v>2.5487599750311212</v>
      </c>
      <c r="AC298" s="484">
        <f t="shared" ca="1" si="42"/>
        <v>1.7788959999999998</v>
      </c>
      <c r="AD298" s="484">
        <f t="shared" ca="1" si="49"/>
        <v>922</v>
      </c>
      <c r="AE298" s="485">
        <f t="shared" ca="1" si="43"/>
        <v>87.960799999999992</v>
      </c>
      <c r="AF298" s="482"/>
      <c r="AG298" s="483">
        <f t="shared" ca="1" si="44"/>
        <v>29.829855562328557</v>
      </c>
      <c r="AH298" s="484">
        <f t="shared" ca="1" si="45"/>
        <v>65.473598370681941</v>
      </c>
      <c r="AI298" s="484">
        <f t="shared" ca="1" si="46"/>
        <v>54.359430403136841</v>
      </c>
      <c r="AJ298" s="485">
        <f t="shared" ca="1" si="47"/>
        <v>52.695199017887759</v>
      </c>
      <c r="AK298" s="627">
        <f t="shared" ca="1" si="50"/>
        <v>50.589520838508776</v>
      </c>
      <c r="AL298" s="482"/>
    </row>
    <row r="299" spans="27:38" x14ac:dyDescent="0.2">
      <c r="AA299" s="483">
        <f t="shared" ca="1" si="48"/>
        <v>14</v>
      </c>
      <c r="AB299" s="484">
        <f t="shared" ca="1" si="41"/>
        <v>12.795667543366134</v>
      </c>
      <c r="AC299" s="484">
        <f t="shared" ca="1" si="42"/>
        <v>3.1236280000000001</v>
      </c>
      <c r="AD299" s="484">
        <f t="shared" ca="1" si="49"/>
        <v>899</v>
      </c>
      <c r="AE299" s="485">
        <f t="shared" ca="1" si="43"/>
        <v>31.3964</v>
      </c>
      <c r="AF299" s="482"/>
      <c r="AG299" s="483">
        <f t="shared" ca="1" si="44"/>
        <v>29.647594056690032</v>
      </c>
      <c r="AH299" s="484">
        <f t="shared" ca="1" si="45"/>
        <v>42.06525322385599</v>
      </c>
      <c r="AI299" s="484">
        <f t="shared" ca="1" si="46"/>
        <v>30.402719437575737</v>
      </c>
      <c r="AJ299" s="485">
        <f t="shared" ca="1" si="47"/>
        <v>38.548892881656123</v>
      </c>
      <c r="AK299" s="627">
        <f t="shared" ca="1" si="50"/>
        <v>35.166114899944468</v>
      </c>
      <c r="AL299" s="482"/>
    </row>
    <row r="300" spans="27:38" x14ac:dyDescent="0.2">
      <c r="AA300" s="483">
        <f t="shared" ca="1" si="48"/>
        <v>8</v>
      </c>
      <c r="AB300" s="484">
        <f t="shared" ca="1" si="41"/>
        <v>2.5487599750311212</v>
      </c>
      <c r="AC300" s="484">
        <f t="shared" ca="1" si="42"/>
        <v>1.7788959999999998</v>
      </c>
      <c r="AD300" s="484">
        <f t="shared" ca="1" si="49"/>
        <v>783</v>
      </c>
      <c r="AE300" s="485">
        <f t="shared" ca="1" si="43"/>
        <v>87.960799999999992</v>
      </c>
      <c r="AF300" s="482"/>
      <c r="AG300" s="483">
        <f t="shared" ca="1" si="44"/>
        <v>28.728362115208778</v>
      </c>
      <c r="AH300" s="484">
        <f t="shared" ca="1" si="45"/>
        <v>64.523244175452177</v>
      </c>
      <c r="AI300" s="484">
        <f t="shared" ca="1" si="46"/>
        <v>52.867330433615351</v>
      </c>
      <c r="AJ300" s="485">
        <f t="shared" ca="1" si="47"/>
        <v>48.75007321788776</v>
      </c>
      <c r="AK300" s="627">
        <f t="shared" ca="1" si="50"/>
        <v>48.71725248554101</v>
      </c>
      <c r="AL300" s="482"/>
    </row>
    <row r="301" spans="27:38" x14ac:dyDescent="0.2">
      <c r="AA301" s="483">
        <f t="shared" ca="1" si="48"/>
        <v>13</v>
      </c>
      <c r="AB301" s="484">
        <f t="shared" ca="1" si="41"/>
        <v>10.42900695605948</v>
      </c>
      <c r="AC301" s="484">
        <f t="shared" ca="1" si="42"/>
        <v>2.8995060000000001</v>
      </c>
      <c r="AD301" s="484">
        <f t="shared" ca="1" si="49"/>
        <v>695</v>
      </c>
      <c r="AE301" s="485">
        <f t="shared" ca="1" si="43"/>
        <v>40.823799999999991</v>
      </c>
      <c r="AF301" s="482"/>
      <c r="AG301" s="483">
        <f t="shared" ca="1" si="44"/>
        <v>28.031013745809204</v>
      </c>
      <c r="AH301" s="484">
        <f t="shared" ca="1" si="45"/>
        <v>44.067605760047421</v>
      </c>
      <c r="AI301" s="484">
        <f t="shared" ca="1" si="46"/>
        <v>32.164510998990245</v>
      </c>
      <c r="AJ301" s="485">
        <f t="shared" ca="1" si="47"/>
        <v>35.875432276039916</v>
      </c>
      <c r="AK301" s="627">
        <f t="shared" ca="1" si="50"/>
        <v>35.034640695221697</v>
      </c>
      <c r="AL301" s="482"/>
    </row>
    <row r="302" spans="27:38" x14ac:dyDescent="0.2">
      <c r="AA302" s="483">
        <f t="shared" ca="1" si="48"/>
        <v>14</v>
      </c>
      <c r="AB302" s="484">
        <f t="shared" ca="1" si="41"/>
        <v>12.795667543366134</v>
      </c>
      <c r="AC302" s="484">
        <f t="shared" ca="1" si="42"/>
        <v>3.1236280000000001</v>
      </c>
      <c r="AD302" s="484">
        <f t="shared" ca="1" si="49"/>
        <v>386</v>
      </c>
      <c r="AE302" s="485">
        <f t="shared" ca="1" si="43"/>
        <v>31.3964</v>
      </c>
      <c r="AF302" s="482"/>
      <c r="AG302" s="483">
        <f t="shared" ca="1" si="44"/>
        <v>25.582370039622067</v>
      </c>
      <c r="AH302" s="484">
        <f t="shared" ca="1" si="45"/>
        <v>40.645724980781182</v>
      </c>
      <c r="AI302" s="484">
        <f t="shared" ca="1" si="46"/>
        <v>24.895904442147515</v>
      </c>
      <c r="AJ302" s="485">
        <f t="shared" ca="1" si="47"/>
        <v>23.988824281656111</v>
      </c>
      <c r="AK302" s="627">
        <f t="shared" ca="1" si="50"/>
        <v>28.778205936051716</v>
      </c>
      <c r="AL302" s="482"/>
    </row>
    <row r="303" spans="27:38" x14ac:dyDescent="0.2">
      <c r="AA303" s="483">
        <f t="shared" ca="1" si="48"/>
        <v>6</v>
      </c>
      <c r="AB303" s="484">
        <f t="shared" ca="1" si="41"/>
        <v>1.0396976224741601</v>
      </c>
      <c r="AC303" s="484">
        <f t="shared" ca="1" si="42"/>
        <v>1.3306519999999999</v>
      </c>
      <c r="AD303" s="484">
        <f t="shared" ca="1" si="49"/>
        <v>888</v>
      </c>
      <c r="AE303" s="485">
        <f t="shared" ca="1" si="43"/>
        <v>106.81559999999999</v>
      </c>
      <c r="AF303" s="482"/>
      <c r="AG303" s="483">
        <f t="shared" ca="1" si="44"/>
        <v>29.560425510515085</v>
      </c>
      <c r="AH303" s="484">
        <f t="shared" ca="1" si="45"/>
        <v>79.950879790775005</v>
      </c>
      <c r="AI303" s="484">
        <f t="shared" ca="1" si="46"/>
        <v>61.897728551872596</v>
      </c>
      <c r="AJ303" s="485">
        <f t="shared" ca="1" si="47"/>
        <v>53.717394612997197</v>
      </c>
      <c r="AK303" s="627">
        <f t="shared" ca="1" si="50"/>
        <v>56.281607116539973</v>
      </c>
      <c r="AL303" s="482"/>
    </row>
    <row r="304" spans="27:38" x14ac:dyDescent="0.2">
      <c r="AA304" s="483">
        <f t="shared" ca="1" si="48"/>
        <v>11</v>
      </c>
      <c r="AB304" s="484">
        <f t="shared" ca="1" si="41"/>
        <v>6.5126594683761416</v>
      </c>
      <c r="AC304" s="484">
        <f t="shared" ca="1" si="42"/>
        <v>2.4512619999999998</v>
      </c>
      <c r="AD304" s="484">
        <f t="shared" ca="1" si="49"/>
        <v>274</v>
      </c>
      <c r="AE304" s="485">
        <f t="shared" ca="1" si="43"/>
        <v>59.678599999999989</v>
      </c>
      <c r="AF304" s="482"/>
      <c r="AG304" s="483">
        <f t="shared" ca="1" si="44"/>
        <v>24.694835751295336</v>
      </c>
      <c r="AH304" s="484">
        <f t="shared" ca="1" si="45"/>
        <v>48.654512757133816</v>
      </c>
      <c r="AI304" s="484">
        <f t="shared" ca="1" si="46"/>
        <v>35.548545203806455</v>
      </c>
      <c r="AJ304" s="485">
        <f t="shared" ca="1" si="47"/>
        <v>29.0837206069674</v>
      </c>
      <c r="AK304" s="627">
        <f t="shared" ca="1" si="50"/>
        <v>34.495403579800751</v>
      </c>
      <c r="AL304" s="482"/>
    </row>
    <row r="305" spans="27:38" x14ac:dyDescent="0.2">
      <c r="AA305" s="483">
        <f t="shared" ca="1" si="48"/>
        <v>13</v>
      </c>
      <c r="AB305" s="484">
        <f t="shared" ca="1" si="41"/>
        <v>10.42900695605948</v>
      </c>
      <c r="AC305" s="484">
        <f t="shared" ca="1" si="42"/>
        <v>2.8995060000000001</v>
      </c>
      <c r="AD305" s="484">
        <f t="shared" ca="1" si="49"/>
        <v>279</v>
      </c>
      <c r="AE305" s="485">
        <f t="shared" ca="1" si="43"/>
        <v>40.823799999999991</v>
      </c>
      <c r="AF305" s="482"/>
      <c r="AG305" s="483">
        <f t="shared" ca="1" si="44"/>
        <v>24.734457817738495</v>
      </c>
      <c r="AH305" s="484">
        <f t="shared" ca="1" si="45"/>
        <v>42.797841943106448</v>
      </c>
      <c r="AI305" s="484">
        <f t="shared" ca="1" si="46"/>
        <v>27.698945622580613</v>
      </c>
      <c r="AJ305" s="485">
        <f t="shared" ca="1" si="47"/>
        <v>24.068437076039913</v>
      </c>
      <c r="AK305" s="627">
        <f t="shared" ca="1" si="50"/>
        <v>29.824920614866368</v>
      </c>
      <c r="AL305" s="482"/>
    </row>
    <row r="306" spans="27:38" x14ac:dyDescent="0.2">
      <c r="AA306" s="483">
        <f t="shared" ca="1" si="48"/>
        <v>7</v>
      </c>
      <c r="AB306" s="484">
        <f t="shared" ca="1" si="41"/>
        <v>1.6910619505690725</v>
      </c>
      <c r="AC306" s="484">
        <f t="shared" ca="1" si="42"/>
        <v>1.5547739999999999</v>
      </c>
      <c r="AD306" s="484">
        <f t="shared" ca="1" si="49"/>
        <v>334</v>
      </c>
      <c r="AE306" s="485">
        <f t="shared" ca="1" si="43"/>
        <v>97.388199999999998</v>
      </c>
      <c r="AF306" s="482"/>
      <c r="AG306" s="483">
        <f t="shared" ca="1" si="44"/>
        <v>25.170300548613227</v>
      </c>
      <c r="AH306" s="484">
        <f t="shared" ca="1" si="45"/>
        <v>67.500899546728078</v>
      </c>
      <c r="AI306" s="484">
        <f t="shared" ca="1" si="46"/>
        <v>51.999161617096306</v>
      </c>
      <c r="AJ306" s="485">
        <f t="shared" ca="1" si="47"/>
        <v>37.135914624030477</v>
      </c>
      <c r="AK306" s="627">
        <f t="shared" ca="1" si="50"/>
        <v>45.451569084117025</v>
      </c>
      <c r="AL306" s="482"/>
    </row>
    <row r="307" spans="27:38" x14ac:dyDescent="0.2">
      <c r="AA307" s="483">
        <f t="shared" ca="1" si="48"/>
        <v>14</v>
      </c>
      <c r="AB307" s="484">
        <f t="shared" ca="1" si="41"/>
        <v>12.795667543366134</v>
      </c>
      <c r="AC307" s="484">
        <f t="shared" ca="1" si="42"/>
        <v>3.1236280000000001</v>
      </c>
      <c r="AD307" s="484">
        <f t="shared" ca="1" si="49"/>
        <v>210</v>
      </c>
      <c r="AE307" s="485">
        <f t="shared" ca="1" si="43"/>
        <v>31.3964</v>
      </c>
      <c r="AF307" s="482"/>
      <c r="AG307" s="483">
        <f t="shared" ca="1" si="44"/>
        <v>24.187673300822919</v>
      </c>
      <c r="AH307" s="484">
        <f t="shared" ca="1" si="45"/>
        <v>40.18053373413408</v>
      </c>
      <c r="AI307" s="484">
        <f t="shared" ca="1" si="46"/>
        <v>23.006626782897289</v>
      </c>
      <c r="AJ307" s="485">
        <f t="shared" ca="1" si="47"/>
        <v>18.993557081656114</v>
      </c>
      <c r="AK307" s="627">
        <f t="shared" ca="1" si="50"/>
        <v>26.592097724877597</v>
      </c>
      <c r="AL307" s="482"/>
    </row>
    <row r="308" spans="27:38" x14ac:dyDescent="0.2">
      <c r="AA308" s="483">
        <f t="shared" ca="1" si="48"/>
        <v>16</v>
      </c>
      <c r="AB308" s="484">
        <f t="shared" ca="1" si="41"/>
        <v>18.379198818405975</v>
      </c>
      <c r="AC308" s="484">
        <f t="shared" ca="1" si="42"/>
        <v>3.5718719999999999</v>
      </c>
      <c r="AD308" s="484">
        <f t="shared" ca="1" si="49"/>
        <v>962</v>
      </c>
      <c r="AE308" s="485">
        <f t="shared" ca="1" si="43"/>
        <v>12.541599999999988</v>
      </c>
      <c r="AF308" s="482"/>
      <c r="AG308" s="483">
        <f t="shared" ca="1" si="44"/>
        <v>30.146832093873819</v>
      </c>
      <c r="AH308" s="484">
        <f t="shared" ca="1" si="45"/>
        <v>37.748230646513932</v>
      </c>
      <c r="AI308" s="484">
        <f t="shared" ca="1" si="46"/>
        <v>23.175722721330075</v>
      </c>
      <c r="AJ308" s="485">
        <f t="shared" ca="1" si="47"/>
        <v>32.984366268391042</v>
      </c>
      <c r="AK308" s="627">
        <f t="shared" ca="1" si="50"/>
        <v>31.013787932527215</v>
      </c>
      <c r="AL308" s="482"/>
    </row>
    <row r="309" spans="27:38" x14ac:dyDescent="0.2">
      <c r="AA309" s="483">
        <f t="shared" ca="1" si="48"/>
        <v>13</v>
      </c>
      <c r="AB309" s="484">
        <f t="shared" ca="1" si="41"/>
        <v>10.42900695605948</v>
      </c>
      <c r="AC309" s="484">
        <f t="shared" ca="1" si="42"/>
        <v>2.8995060000000001</v>
      </c>
      <c r="AD309" s="484">
        <f t="shared" ca="1" si="49"/>
        <v>464</v>
      </c>
      <c r="AE309" s="485">
        <f t="shared" ca="1" si="43"/>
        <v>40.823799999999991</v>
      </c>
      <c r="AF309" s="482"/>
      <c r="AG309" s="483">
        <f t="shared" ca="1" si="44"/>
        <v>26.200474276135324</v>
      </c>
      <c r="AH309" s="484">
        <f t="shared" ca="1" si="45"/>
        <v>43.353368385543803</v>
      </c>
      <c r="AI309" s="484">
        <f t="shared" ca="1" si="46"/>
        <v>29.684834071224319</v>
      </c>
      <c r="AJ309" s="485">
        <f t="shared" ca="1" si="47"/>
        <v>29.319144076039905</v>
      </c>
      <c r="AK309" s="627">
        <f t="shared" ca="1" si="50"/>
        <v>32.139455202235837</v>
      </c>
      <c r="AL309" s="482"/>
    </row>
    <row r="310" spans="27:38" x14ac:dyDescent="0.2">
      <c r="AA310" s="483">
        <f t="shared" ca="1" si="48"/>
        <v>9</v>
      </c>
      <c r="AB310" s="484">
        <f t="shared" ca="1" si="41"/>
        <v>3.6293567322283229</v>
      </c>
      <c r="AC310" s="484">
        <f t="shared" ca="1" si="42"/>
        <v>2.003018</v>
      </c>
      <c r="AD310" s="484">
        <f t="shared" ca="1" si="49"/>
        <v>142</v>
      </c>
      <c r="AE310" s="485">
        <f t="shared" ca="1" si="43"/>
        <v>78.533399999999986</v>
      </c>
      <c r="AF310" s="482"/>
      <c r="AG310" s="483">
        <f t="shared" ca="1" si="44"/>
        <v>23.648813197195977</v>
      </c>
      <c r="AH310" s="484">
        <f t="shared" ca="1" si="45"/>
        <v>55.72263058176005</v>
      </c>
      <c r="AI310" s="484">
        <f t="shared" ca="1" si="46"/>
        <v>42.034859201368782</v>
      </c>
      <c r="AJ310" s="485">
        <f t="shared" ca="1" si="47"/>
        <v>29.134112328008563</v>
      </c>
      <c r="AK310" s="627">
        <f t="shared" ca="1" si="50"/>
        <v>37.635103827083348</v>
      </c>
      <c r="AL310" s="482"/>
    </row>
    <row r="311" spans="27:38" x14ac:dyDescent="0.2">
      <c r="AA311" s="483">
        <f t="shared" ca="1" si="48"/>
        <v>16</v>
      </c>
      <c r="AB311" s="484">
        <f t="shared" ca="1" si="41"/>
        <v>18.379198818405975</v>
      </c>
      <c r="AC311" s="484">
        <f t="shared" ca="1" si="42"/>
        <v>3.5718719999999999</v>
      </c>
      <c r="AD311" s="484">
        <f t="shared" ca="1" si="49"/>
        <v>169</v>
      </c>
      <c r="AE311" s="485">
        <f t="shared" ca="1" si="43"/>
        <v>12.541599999999988</v>
      </c>
      <c r="AF311" s="482"/>
      <c r="AG311" s="483">
        <f t="shared" ca="1" si="44"/>
        <v>23.86277235598903</v>
      </c>
      <c r="AH311" s="484">
        <f t="shared" ca="1" si="45"/>
        <v>36.003981160131012</v>
      </c>
      <c r="AI311" s="484">
        <f t="shared" ca="1" si="46"/>
        <v>14.663238722549217</v>
      </c>
      <c r="AJ311" s="485">
        <f t="shared" ca="1" si="47"/>
        <v>10.477281668391042</v>
      </c>
      <c r="AK311" s="627">
        <f t="shared" ca="1" si="50"/>
        <v>21.251818476765074</v>
      </c>
      <c r="AL311" s="482"/>
    </row>
    <row r="312" spans="27:38" x14ac:dyDescent="0.2">
      <c r="AA312" s="483">
        <f t="shared" ca="1" si="48"/>
        <v>13</v>
      </c>
      <c r="AB312" s="484">
        <f t="shared" ca="1" si="41"/>
        <v>10.42900695605948</v>
      </c>
      <c r="AC312" s="484">
        <f t="shared" ca="1" si="42"/>
        <v>2.8995060000000001</v>
      </c>
      <c r="AD312" s="484">
        <f t="shared" ca="1" si="49"/>
        <v>191</v>
      </c>
      <c r="AE312" s="485">
        <f t="shared" ca="1" si="43"/>
        <v>40.823799999999991</v>
      </c>
      <c r="AF312" s="482"/>
      <c r="AG312" s="483">
        <f t="shared" ca="1" si="44"/>
        <v>24.037109448338921</v>
      </c>
      <c r="AH312" s="484">
        <f t="shared" ca="1" si="45"/>
        <v>42.538558015137831</v>
      </c>
      <c r="AI312" s="484">
        <f t="shared" ca="1" si="46"/>
        <v>26.7543067929555</v>
      </c>
      <c r="AJ312" s="485">
        <f t="shared" ca="1" si="47"/>
        <v>21.570803476039909</v>
      </c>
      <c r="AK312" s="627">
        <f t="shared" ca="1" si="50"/>
        <v>28.725194433118041</v>
      </c>
      <c r="AL312" s="482"/>
    </row>
    <row r="313" spans="27:38" x14ac:dyDescent="0.2">
      <c r="AA313" s="483">
        <f t="shared" ca="1" si="48"/>
        <v>16</v>
      </c>
      <c r="AB313" s="484">
        <f t="shared" ca="1" si="41"/>
        <v>18.379198818405975</v>
      </c>
      <c r="AC313" s="484">
        <f t="shared" ca="1" si="42"/>
        <v>3.5718719999999999</v>
      </c>
      <c r="AD313" s="484">
        <f t="shared" ca="1" si="49"/>
        <v>232</v>
      </c>
      <c r="AE313" s="485">
        <f t="shared" ca="1" si="43"/>
        <v>12.541599999999988</v>
      </c>
      <c r="AF313" s="482"/>
      <c r="AG313" s="483">
        <f t="shared" ca="1" si="44"/>
        <v>24.362010393172813</v>
      </c>
      <c r="AH313" s="484">
        <f t="shared" ca="1" si="45"/>
        <v>36.136637222431077</v>
      </c>
      <c r="AI313" s="484">
        <f t="shared" ca="1" si="46"/>
        <v>15.339514248303562</v>
      </c>
      <c r="AJ313" s="485">
        <f t="shared" ca="1" si="47"/>
        <v>12.265360268391044</v>
      </c>
      <c r="AK313" s="627">
        <f t="shared" ca="1" si="50"/>
        <v>22.025880533074623</v>
      </c>
      <c r="AL313" s="482"/>
    </row>
    <row r="314" spans="27:38" x14ac:dyDescent="0.2">
      <c r="AA314" s="483">
        <f t="shared" ca="1" si="48"/>
        <v>15</v>
      </c>
      <c r="AB314" s="484">
        <f t="shared" ca="1" si="41"/>
        <v>15.443787118411857</v>
      </c>
      <c r="AC314" s="484">
        <f t="shared" ca="1" si="42"/>
        <v>3.34775</v>
      </c>
      <c r="AD314" s="484">
        <f t="shared" ca="1" si="49"/>
        <v>657</v>
      </c>
      <c r="AE314" s="485">
        <f t="shared" ca="1" si="43"/>
        <v>21.968999999999994</v>
      </c>
      <c r="AF314" s="482"/>
      <c r="AG314" s="483">
        <f t="shared" ca="1" si="44"/>
        <v>27.729886040841208</v>
      </c>
      <c r="AH314" s="484">
        <f t="shared" ca="1" si="45"/>
        <v>39.101320903221087</v>
      </c>
      <c r="AI314" s="484">
        <f t="shared" ca="1" si="46"/>
        <v>23.853326535106671</v>
      </c>
      <c r="AJ314" s="485">
        <f t="shared" ca="1" si="47"/>
        <v>28.19325644435661</v>
      </c>
      <c r="AK314" s="627">
        <f t="shared" ca="1" si="50"/>
        <v>29.719447480881396</v>
      </c>
      <c r="AL314" s="482"/>
    </row>
    <row r="315" spans="27:38" x14ac:dyDescent="0.2">
      <c r="AA315" s="483">
        <f t="shared" ca="1" si="48"/>
        <v>9</v>
      </c>
      <c r="AB315" s="484">
        <f t="shared" ca="1" si="41"/>
        <v>3.6293567322283229</v>
      </c>
      <c r="AC315" s="484">
        <f t="shared" ca="1" si="42"/>
        <v>2.003018</v>
      </c>
      <c r="AD315" s="484">
        <f t="shared" ca="1" si="49"/>
        <v>851</v>
      </c>
      <c r="AE315" s="485">
        <f t="shared" ca="1" si="43"/>
        <v>78.533399999999986</v>
      </c>
      <c r="AF315" s="482"/>
      <c r="AG315" s="483">
        <f t="shared" ca="1" si="44"/>
        <v>29.26722221883572</v>
      </c>
      <c r="AH315" s="484">
        <f t="shared" ca="1" si="45"/>
        <v>59.528848208951729</v>
      </c>
      <c r="AI315" s="484">
        <f t="shared" ca="1" si="46"/>
        <v>49.645642499143854</v>
      </c>
      <c r="AJ315" s="485">
        <f t="shared" ca="1" si="47"/>
        <v>49.257092128008573</v>
      </c>
      <c r="AK315" s="627">
        <f t="shared" ca="1" si="50"/>
        <v>46.924701263734967</v>
      </c>
      <c r="AL315" s="482"/>
    </row>
    <row r="316" spans="27:38" x14ac:dyDescent="0.2">
      <c r="AA316" s="483">
        <f t="shared" ca="1" si="48"/>
        <v>12</v>
      </c>
      <c r="AB316" s="484">
        <f t="shared" ca="1" si="41"/>
        <v>8.3371886632508829</v>
      </c>
      <c r="AC316" s="484">
        <f t="shared" ca="1" si="42"/>
        <v>2.6753840000000002</v>
      </c>
      <c r="AD316" s="484">
        <f t="shared" ca="1" si="49"/>
        <v>897</v>
      </c>
      <c r="AE316" s="485">
        <f t="shared" ca="1" si="43"/>
        <v>50.251199999999983</v>
      </c>
      <c r="AF316" s="482"/>
      <c r="AG316" s="483">
        <f t="shared" ca="1" si="44"/>
        <v>29.63174523011277</v>
      </c>
      <c r="AH316" s="484">
        <f t="shared" ca="1" si="45"/>
        <v>47.720969823515013</v>
      </c>
      <c r="AI316" s="484">
        <f t="shared" ca="1" si="46"/>
        <v>38.28452261526607</v>
      </c>
      <c r="AJ316" s="485">
        <f t="shared" ca="1" si="47"/>
        <v>44.363222139483568</v>
      </c>
      <c r="AK316" s="627">
        <f t="shared" ca="1" si="50"/>
        <v>40.00011495209435</v>
      </c>
      <c r="AL316" s="482"/>
    </row>
    <row r="317" spans="27:38" x14ac:dyDescent="0.2">
      <c r="AA317" s="483">
        <f t="shared" ca="1" si="48"/>
        <v>13</v>
      </c>
      <c r="AB317" s="484">
        <f t="shared" ca="1" si="41"/>
        <v>10.42900695605948</v>
      </c>
      <c r="AC317" s="484">
        <f t="shared" ca="1" si="42"/>
        <v>2.8995060000000001</v>
      </c>
      <c r="AD317" s="484">
        <f t="shared" ca="1" si="49"/>
        <v>931</v>
      </c>
      <c r="AE317" s="485">
        <f t="shared" ca="1" si="43"/>
        <v>40.823799999999991</v>
      </c>
      <c r="AF317" s="482"/>
      <c r="AG317" s="483">
        <f t="shared" ca="1" si="44"/>
        <v>29.901175281926243</v>
      </c>
      <c r="AH317" s="484">
        <f t="shared" ca="1" si="45"/>
        <v>44.822022291325723</v>
      </c>
      <c r="AI317" s="484">
        <f t="shared" ca="1" si="46"/>
        <v>34.697860587530322</v>
      </c>
      <c r="AJ317" s="485">
        <f t="shared" ca="1" si="47"/>
        <v>42.573631476039921</v>
      </c>
      <c r="AK317" s="627">
        <f t="shared" ca="1" si="50"/>
        <v>37.998672409205554</v>
      </c>
      <c r="AL317" s="482"/>
    </row>
    <row r="318" spans="27:38" x14ac:dyDescent="0.2">
      <c r="AA318" s="483">
        <f t="shared" ca="1" si="48"/>
        <v>10</v>
      </c>
      <c r="AB318" s="484">
        <f t="shared" ca="1" si="41"/>
        <v>4.9467360247874907</v>
      </c>
      <c r="AC318" s="484">
        <f t="shared" ca="1" si="42"/>
        <v>2.2271399999999999</v>
      </c>
      <c r="AD318" s="484">
        <f t="shared" ca="1" si="49"/>
        <v>849</v>
      </c>
      <c r="AE318" s="485">
        <f t="shared" ca="1" si="43"/>
        <v>69.105999999999995</v>
      </c>
      <c r="AF318" s="482"/>
      <c r="AG318" s="483">
        <f t="shared" ca="1" si="44"/>
        <v>29.251373392258458</v>
      </c>
      <c r="AH318" s="484">
        <f t="shared" ca="1" si="45"/>
        <v>54.90838742586547</v>
      </c>
      <c r="AI318" s="484">
        <f t="shared" ca="1" si="46"/>
        <v>45.672537313834191</v>
      </c>
      <c r="AJ318" s="485">
        <f t="shared" ca="1" si="47"/>
        <v>47.465552837856478</v>
      </c>
      <c r="AK318" s="627">
        <f t="shared" ca="1" si="50"/>
        <v>44.324462742453647</v>
      </c>
      <c r="AL318" s="482"/>
    </row>
    <row r="319" spans="27:38" x14ac:dyDescent="0.2">
      <c r="AA319" s="483">
        <f t="shared" ca="1" si="48"/>
        <v>15</v>
      </c>
      <c r="AB319" s="484">
        <f t="shared" ca="1" si="41"/>
        <v>15.443787118411857</v>
      </c>
      <c r="AC319" s="484">
        <f t="shared" ca="1" si="42"/>
        <v>3.34775</v>
      </c>
      <c r="AD319" s="484">
        <f t="shared" ca="1" si="49"/>
        <v>241</v>
      </c>
      <c r="AE319" s="485">
        <f t="shared" ca="1" si="43"/>
        <v>21.968999999999994</v>
      </c>
      <c r="AF319" s="482"/>
      <c r="AG319" s="483">
        <f t="shared" ca="1" si="44"/>
        <v>24.433330112770498</v>
      </c>
      <c r="AH319" s="484">
        <f t="shared" ca="1" si="45"/>
        <v>38.09837051412164</v>
      </c>
      <c r="AI319" s="484">
        <f t="shared" ca="1" si="46"/>
        <v>19.387761158697039</v>
      </c>
      <c r="AJ319" s="485">
        <f t="shared" ca="1" si="47"/>
        <v>16.386261244356618</v>
      </c>
      <c r="AK319" s="627">
        <f t="shared" ca="1" si="50"/>
        <v>24.576430757486449</v>
      </c>
      <c r="AL319" s="482"/>
    </row>
    <row r="320" spans="27:38" x14ac:dyDescent="0.2">
      <c r="AA320" s="483">
        <f t="shared" ca="1" si="48"/>
        <v>9</v>
      </c>
      <c r="AB320" s="484">
        <f t="shared" ca="1" si="41"/>
        <v>3.6293567322283229</v>
      </c>
      <c r="AC320" s="484">
        <f t="shared" ca="1" si="42"/>
        <v>2.003018</v>
      </c>
      <c r="AD320" s="484">
        <f t="shared" ca="1" si="49"/>
        <v>397</v>
      </c>
      <c r="AE320" s="485">
        <f t="shared" ca="1" si="43"/>
        <v>78.533399999999986</v>
      </c>
      <c r="AF320" s="482"/>
      <c r="AG320" s="483">
        <f t="shared" ca="1" si="44"/>
        <v>25.669538585797014</v>
      </c>
      <c r="AH320" s="484">
        <f t="shared" ca="1" si="45"/>
        <v>57.034212841260384</v>
      </c>
      <c r="AI320" s="484">
        <f t="shared" ca="1" si="46"/>
        <v>44.772164900850647</v>
      </c>
      <c r="AJ320" s="485">
        <f t="shared" ca="1" si="47"/>
        <v>36.371573328008566</v>
      </c>
      <c r="AK320" s="627">
        <f t="shared" ca="1" si="50"/>
        <v>40.961872413979151</v>
      </c>
      <c r="AL320" s="482"/>
    </row>
    <row r="321" spans="27:38" x14ac:dyDescent="0.2">
      <c r="AA321" s="483">
        <f t="shared" ca="1" si="48"/>
        <v>12</v>
      </c>
      <c r="AB321" s="484">
        <f t="shared" ca="1" si="41"/>
        <v>8.3371886632508829</v>
      </c>
      <c r="AC321" s="484">
        <f t="shared" ca="1" si="42"/>
        <v>2.6753840000000002</v>
      </c>
      <c r="AD321" s="484">
        <f t="shared" ca="1" si="49"/>
        <v>705</v>
      </c>
      <c r="AE321" s="485">
        <f t="shared" ca="1" si="43"/>
        <v>50.251199999999983</v>
      </c>
      <c r="AF321" s="482"/>
      <c r="AG321" s="483">
        <f t="shared" ca="1" si="44"/>
        <v>28.110257878695521</v>
      </c>
      <c r="AH321" s="484">
        <f t="shared" ca="1" si="45"/>
        <v>47.023676729956506</v>
      </c>
      <c r="AI321" s="484">
        <f t="shared" ca="1" si="46"/>
        <v>36.223492441538546</v>
      </c>
      <c r="AJ321" s="485">
        <f t="shared" ca="1" si="47"/>
        <v>38.913839739483564</v>
      </c>
      <c r="AK321" s="627">
        <f t="shared" ca="1" si="50"/>
        <v>37.567816697418536</v>
      </c>
      <c r="AL321" s="482"/>
    </row>
    <row r="322" spans="27:38" x14ac:dyDescent="0.2">
      <c r="AA322" s="483">
        <f t="shared" ca="1" si="48"/>
        <v>15</v>
      </c>
      <c r="AB322" s="484">
        <f t="shared" ca="1" si="41"/>
        <v>15.443787118411857</v>
      </c>
      <c r="AC322" s="484">
        <f t="shared" ca="1" si="42"/>
        <v>3.34775</v>
      </c>
      <c r="AD322" s="484">
        <f t="shared" ca="1" si="49"/>
        <v>565</v>
      </c>
      <c r="AE322" s="485">
        <f t="shared" ca="1" si="43"/>
        <v>21.968999999999994</v>
      </c>
      <c r="AF322" s="482"/>
      <c r="AG322" s="483">
        <f t="shared" ca="1" si="44"/>
        <v>27.000840018287107</v>
      </c>
      <c r="AH322" s="484">
        <f t="shared" ca="1" si="45"/>
        <v>38.874993118821713</v>
      </c>
      <c r="AI322" s="484">
        <f t="shared" ca="1" si="46"/>
        <v>22.865749576862235</v>
      </c>
      <c r="AJ322" s="485">
        <f t="shared" ca="1" si="47"/>
        <v>25.582094044356612</v>
      </c>
      <c r="AK322" s="627">
        <f t="shared" ca="1" si="50"/>
        <v>28.58091918958192</v>
      </c>
      <c r="AL322" s="482"/>
    </row>
    <row r="323" spans="27:38" x14ac:dyDescent="0.2">
      <c r="AA323" s="483">
        <f t="shared" ca="1" si="48"/>
        <v>6</v>
      </c>
      <c r="AB323" s="484">
        <f t="shared" ca="1" si="41"/>
        <v>1.0396976224741601</v>
      </c>
      <c r="AC323" s="484">
        <f t="shared" ca="1" si="42"/>
        <v>1.3306519999999999</v>
      </c>
      <c r="AD323" s="484">
        <f t="shared" ca="1" si="49"/>
        <v>664</v>
      </c>
      <c r="AE323" s="485">
        <f t="shared" ca="1" si="43"/>
        <v>106.81559999999999</v>
      </c>
      <c r="AF323" s="482"/>
      <c r="AG323" s="483">
        <f t="shared" ca="1" si="44"/>
        <v>27.785356933861628</v>
      </c>
      <c r="AH323" s="484">
        <f t="shared" ca="1" si="45"/>
        <v>77.698849919851398</v>
      </c>
      <c r="AI323" s="484">
        <f t="shared" ca="1" si="46"/>
        <v>59.493193349190484</v>
      </c>
      <c r="AJ323" s="485">
        <f t="shared" ca="1" si="47"/>
        <v>47.359781812997191</v>
      </c>
      <c r="AK323" s="627">
        <f t="shared" ca="1" si="50"/>
        <v>53.084295503975177</v>
      </c>
      <c r="AL323" s="482"/>
    </row>
    <row r="324" spans="27:38" x14ac:dyDescent="0.2">
      <c r="AA324" s="483">
        <f t="shared" ca="1" si="48"/>
        <v>13</v>
      </c>
      <c r="AB324" s="484">
        <f t="shared" ca="1" si="41"/>
        <v>10.42900695605948</v>
      </c>
      <c r="AC324" s="484">
        <f t="shared" ca="1" si="42"/>
        <v>2.8995060000000001</v>
      </c>
      <c r="AD324" s="484">
        <f t="shared" ca="1" si="49"/>
        <v>763</v>
      </c>
      <c r="AE324" s="485">
        <f t="shared" ca="1" si="43"/>
        <v>40.823799999999991</v>
      </c>
      <c r="AF324" s="482"/>
      <c r="AG324" s="483">
        <f t="shared" ca="1" si="44"/>
        <v>28.569873849436146</v>
      </c>
      <c r="AH324" s="484">
        <f t="shared" ca="1" si="45"/>
        <v>44.282362817517388</v>
      </c>
      <c r="AI324" s="484">
        <f t="shared" ca="1" si="46"/>
        <v>32.894459185518741</v>
      </c>
      <c r="AJ324" s="485">
        <f t="shared" ca="1" si="47"/>
        <v>37.805421876039915</v>
      </c>
      <c r="AK324" s="627">
        <f t="shared" ca="1" si="50"/>
        <v>35.88802943212805</v>
      </c>
      <c r="AL324" s="482"/>
    </row>
    <row r="325" spans="27:38" x14ac:dyDescent="0.2">
      <c r="AA325" s="483">
        <f t="shared" ca="1" si="48"/>
        <v>12</v>
      </c>
      <c r="AB325" s="484">
        <f t="shared" ca="1" si="41"/>
        <v>8.3371886632508829</v>
      </c>
      <c r="AC325" s="484">
        <f t="shared" ca="1" si="42"/>
        <v>2.6753840000000002</v>
      </c>
      <c r="AD325" s="484">
        <f t="shared" ca="1" si="49"/>
        <v>209</v>
      </c>
      <c r="AE325" s="485">
        <f t="shared" ca="1" si="43"/>
        <v>50.251199999999983</v>
      </c>
      <c r="AF325" s="482"/>
      <c r="AG325" s="483">
        <f t="shared" ca="1" si="44"/>
        <v>24.179748887534288</v>
      </c>
      <c r="AH325" s="484">
        <f t="shared" ca="1" si="45"/>
        <v>45.313222342372526</v>
      </c>
      <c r="AI325" s="484">
        <f t="shared" ca="1" si="46"/>
        <v>30.899164492742447</v>
      </c>
      <c r="AJ325" s="485">
        <f t="shared" ca="1" si="47"/>
        <v>24.836268539483559</v>
      </c>
      <c r="AK325" s="627">
        <f t="shared" ca="1" si="50"/>
        <v>31.307101065533203</v>
      </c>
      <c r="AL325" s="482"/>
    </row>
    <row r="326" spans="27:38" x14ac:dyDescent="0.2">
      <c r="AA326" s="483">
        <f t="shared" ca="1" si="48"/>
        <v>16</v>
      </c>
      <c r="AB326" s="484">
        <f t="shared" ca="1" si="41"/>
        <v>18.379198818405975</v>
      </c>
      <c r="AC326" s="484">
        <f t="shared" ca="1" si="42"/>
        <v>3.5718719999999999</v>
      </c>
      <c r="AD326" s="484">
        <f t="shared" ca="1" si="49"/>
        <v>642</v>
      </c>
      <c r="AE326" s="485">
        <f t="shared" ca="1" si="43"/>
        <v>12.541599999999988</v>
      </c>
      <c r="AF326" s="482"/>
      <c r="AG326" s="483">
        <f t="shared" ca="1" si="44"/>
        <v>27.611019841511734</v>
      </c>
      <c r="AH326" s="484">
        <f t="shared" ca="1" si="45"/>
        <v>37.024422997952442</v>
      </c>
      <c r="AI326" s="484">
        <f t="shared" ca="1" si="46"/>
        <v>19.740672431784208</v>
      </c>
      <c r="AJ326" s="485">
        <f t="shared" ca="1" si="47"/>
        <v>23.902062268391045</v>
      </c>
      <c r="AK326" s="627">
        <f t="shared" ca="1" si="50"/>
        <v>27.069544384909857</v>
      </c>
      <c r="AL326" s="482"/>
    </row>
    <row r="327" spans="27:38" x14ac:dyDescent="0.2">
      <c r="AA327" s="483">
        <f t="shared" ca="1" si="48"/>
        <v>9</v>
      </c>
      <c r="AB327" s="484">
        <f t="shared" ca="1" si="41"/>
        <v>3.6293567322283229</v>
      </c>
      <c r="AC327" s="484">
        <f t="shared" ca="1" si="42"/>
        <v>2.003018</v>
      </c>
      <c r="AD327" s="484">
        <f t="shared" ca="1" si="49"/>
        <v>813</v>
      </c>
      <c r="AE327" s="485">
        <f t="shared" ca="1" si="43"/>
        <v>78.533399999999986</v>
      </c>
      <c r="AF327" s="482"/>
      <c r="AG327" s="483">
        <f t="shared" ca="1" si="44"/>
        <v>28.966094513867723</v>
      </c>
      <c r="AH327" s="484">
        <f t="shared" ca="1" si="45"/>
        <v>59.311708226061207</v>
      </c>
      <c r="AI327" s="484">
        <f t="shared" ca="1" si="46"/>
        <v>49.237730277260283</v>
      </c>
      <c r="AJ327" s="485">
        <f t="shared" ca="1" si="47"/>
        <v>48.178568528008562</v>
      </c>
      <c r="AK327" s="627">
        <f t="shared" ca="1" si="50"/>
        <v>46.423525386299445</v>
      </c>
      <c r="AL327" s="482"/>
    </row>
    <row r="328" spans="27:38" x14ac:dyDescent="0.2">
      <c r="AA328" s="483">
        <f t="shared" ca="1" si="48"/>
        <v>8</v>
      </c>
      <c r="AB328" s="484">
        <f t="shared" ca="1" si="41"/>
        <v>2.5487599750311212</v>
      </c>
      <c r="AC328" s="484">
        <f t="shared" ca="1" si="42"/>
        <v>1.7788959999999998</v>
      </c>
      <c r="AD328" s="484">
        <f t="shared" ca="1" si="49"/>
        <v>107</v>
      </c>
      <c r="AE328" s="485">
        <f t="shared" ca="1" si="43"/>
        <v>87.960799999999992</v>
      </c>
      <c r="AF328" s="482"/>
      <c r="AG328" s="483">
        <f t="shared" ca="1" si="44"/>
        <v>23.371458732093874</v>
      </c>
      <c r="AH328" s="484">
        <f t="shared" ca="1" si="45"/>
        <v>60.268791793783727</v>
      </c>
      <c r="AI328" s="484">
        <f t="shared" ca="1" si="46"/>
        <v>45.61078669694971</v>
      </c>
      <c r="AJ328" s="485">
        <f t="shared" ca="1" si="47"/>
        <v>29.56370601788775</v>
      </c>
      <c r="AK328" s="627">
        <f t="shared" ca="1" si="50"/>
        <v>39.703685810178762</v>
      </c>
      <c r="AL328" s="482"/>
    </row>
    <row r="329" spans="27:38" x14ac:dyDescent="0.2">
      <c r="AA329" s="629">
        <f t="shared" ca="1" si="48"/>
        <v>9</v>
      </c>
      <c r="AB329" s="630">
        <f t="shared" ca="1" si="41"/>
        <v>3.6293567322283229</v>
      </c>
      <c r="AC329" s="630">
        <f t="shared" ca="1" si="42"/>
        <v>2.003018</v>
      </c>
      <c r="AD329" s="630">
        <f t="shared" ca="1" si="49"/>
        <v>559</v>
      </c>
      <c r="AE329" s="631">
        <f t="shared" ca="1" si="43"/>
        <v>78.533399999999986</v>
      </c>
      <c r="AF329" s="482"/>
      <c r="AG329" s="629">
        <f t="shared" ca="1" si="44"/>
        <v>26.953293538555318</v>
      </c>
      <c r="AH329" s="630">
        <f t="shared" ca="1" si="45"/>
        <v>57.900012508963925</v>
      </c>
      <c r="AI329" s="630">
        <f t="shared" ca="1" si="46"/>
        <v>46.511159109933253</v>
      </c>
      <c r="AJ329" s="631">
        <f t="shared" ca="1" si="47"/>
        <v>40.969489728008568</v>
      </c>
      <c r="AK329" s="628">
        <f t="shared" ca="1" si="50"/>
        <v>43.083488721365264</v>
      </c>
      <c r="AL329" s="482"/>
    </row>
    <row r="330" spans="27:38" x14ac:dyDescent="0.2">
      <c r="AD330" s="32"/>
      <c r="AE330" s="32"/>
      <c r="AG330" s="32"/>
      <c r="AH330" s="32"/>
      <c r="AI330" s="32"/>
      <c r="AJ330" s="32"/>
      <c r="AK330" s="32"/>
    </row>
    <row r="331" spans="27:38" x14ac:dyDescent="0.2">
      <c r="AD331" s="32"/>
      <c r="AE331" s="32"/>
      <c r="AG331" s="32"/>
      <c r="AH331" s="32"/>
      <c r="AI331" s="32"/>
      <c r="AJ331" s="32"/>
      <c r="AK331" s="32"/>
    </row>
    <row r="332" spans="27:38" x14ac:dyDescent="0.2">
      <c r="AD332" s="32"/>
      <c r="AE332" s="32"/>
      <c r="AG332" s="32"/>
      <c r="AH332" s="32"/>
      <c r="AI332" s="32"/>
      <c r="AJ332" s="32"/>
      <c r="AK332" s="32"/>
    </row>
    <row r="333" spans="27:38" x14ac:dyDescent="0.2">
      <c r="AD333" s="32"/>
      <c r="AE333" s="32"/>
      <c r="AG333" s="32"/>
      <c r="AH333" s="32"/>
      <c r="AI333" s="32"/>
      <c r="AJ333" s="32"/>
      <c r="AK333" s="32"/>
    </row>
    <row r="334" spans="27:38" x14ac:dyDescent="0.2">
      <c r="AD334" s="32"/>
      <c r="AE334" s="32"/>
      <c r="AG334" s="32"/>
      <c r="AH334" s="32"/>
      <c r="AI334" s="32"/>
      <c r="AJ334" s="32"/>
      <c r="AK334" s="32"/>
    </row>
    <row r="335" spans="27:38" x14ac:dyDescent="0.2">
      <c r="AD335" s="32"/>
      <c r="AE335" s="32"/>
      <c r="AG335" s="32"/>
      <c r="AH335" s="32"/>
      <c r="AI335" s="32"/>
      <c r="AJ335" s="32"/>
      <c r="AK335" s="32"/>
    </row>
  </sheetData>
  <mergeCells count="86">
    <mergeCell ref="AS15:AV15"/>
    <mergeCell ref="AX15:BA15"/>
    <mergeCell ref="P43:S43"/>
    <mergeCell ref="P44:S44"/>
    <mergeCell ref="P45:S45"/>
    <mergeCell ref="AM21:AO21"/>
    <mergeCell ref="AM22:AO22"/>
    <mergeCell ref="AM23:AO23"/>
    <mergeCell ref="AM18:AQ18"/>
    <mergeCell ref="AM19:AO19"/>
    <mergeCell ref="AM20:AO20"/>
    <mergeCell ref="AA24:AK24"/>
    <mergeCell ref="AA25:AK25"/>
    <mergeCell ref="AA26:AE26"/>
    <mergeCell ref="AG26:AJ27"/>
    <mergeCell ref="AK26:AK27"/>
    <mergeCell ref="C6:E6"/>
    <mergeCell ref="C7:E7"/>
    <mergeCell ref="B6:B8"/>
    <mergeCell ref="B20:G20"/>
    <mergeCell ref="I12:L12"/>
    <mergeCell ref="I2:L10"/>
    <mergeCell ref="B12:G12"/>
    <mergeCell ref="C8:E8"/>
    <mergeCell ref="B2:F2"/>
    <mergeCell ref="C3:E3"/>
    <mergeCell ref="B4:B5"/>
    <mergeCell ref="C4:E4"/>
    <mergeCell ref="C5:E5"/>
    <mergeCell ref="B54:G54"/>
    <mergeCell ref="I34:L34"/>
    <mergeCell ref="I13:L13"/>
    <mergeCell ref="I27:L27"/>
    <mergeCell ref="I46:L46"/>
    <mergeCell ref="B13:G13"/>
    <mergeCell ref="B27:G27"/>
    <mergeCell ref="B46:G46"/>
    <mergeCell ref="B34:G34"/>
    <mergeCell ref="R34:V34"/>
    <mergeCell ref="P36:P40"/>
    <mergeCell ref="P20:P24"/>
    <mergeCell ref="P33:V33"/>
    <mergeCell ref="P27:U27"/>
    <mergeCell ref="P28:P29"/>
    <mergeCell ref="R46:S46"/>
    <mergeCell ref="P46:Q46"/>
    <mergeCell ref="P47:Q47"/>
    <mergeCell ref="P48:Q48"/>
    <mergeCell ref="P49:Q49"/>
    <mergeCell ref="R47:S47"/>
    <mergeCell ref="R48:S48"/>
    <mergeCell ref="R49:S49"/>
    <mergeCell ref="P50:Q50"/>
    <mergeCell ref="P51:Q51"/>
    <mergeCell ref="P52:Q52"/>
    <mergeCell ref="P53:Q53"/>
    <mergeCell ref="P54:Q54"/>
    <mergeCell ref="R50:S50"/>
    <mergeCell ref="R51:S51"/>
    <mergeCell ref="R52:S52"/>
    <mergeCell ref="R53:S53"/>
    <mergeCell ref="R54:S54"/>
    <mergeCell ref="P69:Q69"/>
    <mergeCell ref="R69:S69"/>
    <mergeCell ref="P65:Q65"/>
    <mergeCell ref="R65:S65"/>
    <mergeCell ref="P66:Q66"/>
    <mergeCell ref="R66:S66"/>
    <mergeCell ref="P67:Q67"/>
    <mergeCell ref="R67:S67"/>
    <mergeCell ref="P17:V17"/>
    <mergeCell ref="P68:Q68"/>
    <mergeCell ref="R68:S68"/>
    <mergeCell ref="P57:S57"/>
    <mergeCell ref="P58:S58"/>
    <mergeCell ref="P62:Q62"/>
    <mergeCell ref="R62:S62"/>
    <mergeCell ref="P63:Q63"/>
    <mergeCell ref="R63:S63"/>
    <mergeCell ref="P64:Q64"/>
    <mergeCell ref="R64:S64"/>
    <mergeCell ref="P59:S59"/>
    <mergeCell ref="P60:Q60"/>
    <mergeCell ref="R60:S60"/>
    <mergeCell ref="P61:Q61"/>
    <mergeCell ref="R61:S61"/>
  </mergeCells>
  <pageMargins left="0.7" right="0.7" top="0.75" bottom="0.75" header="0.3" footer="0.3"/>
  <pageSetup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58D3B9-2DE6-450E-9F37-7709730A19B3}">
  <sheetPr>
    <tabColor rgb="FFFFFF00"/>
  </sheetPr>
  <dimension ref="B1:AL29"/>
  <sheetViews>
    <sheetView zoomScaleNormal="100" workbookViewId="0">
      <selection activeCell="F13" sqref="F13"/>
    </sheetView>
  </sheetViews>
  <sheetFormatPr baseColWidth="10" defaultColWidth="8.83203125" defaultRowHeight="15" x14ac:dyDescent="0.2"/>
  <cols>
    <col min="2" max="2" width="15.6640625" bestFit="1" customWidth="1"/>
    <col min="3" max="3" width="35.1640625" customWidth="1"/>
    <col min="4" max="4" width="27.1640625" bestFit="1" customWidth="1"/>
    <col min="5" max="5" width="29.33203125" bestFit="1" customWidth="1"/>
    <col min="6" max="6" width="33.5" bestFit="1" customWidth="1"/>
    <col min="7" max="7" width="22.83203125" bestFit="1" customWidth="1"/>
    <col min="8" max="8" width="17.6640625" customWidth="1"/>
    <col min="9" max="9" width="4.5" bestFit="1" customWidth="1"/>
    <col min="10" max="10" width="23.1640625" bestFit="1" customWidth="1"/>
    <col min="11" max="11" width="19.6640625" bestFit="1" customWidth="1"/>
    <col min="12" max="12" width="24.5" bestFit="1" customWidth="1"/>
    <col min="13" max="13" width="71.5" bestFit="1" customWidth="1"/>
    <col min="14" max="18" width="9.1640625" customWidth="1"/>
    <col min="19" max="19" width="9.6640625" customWidth="1"/>
    <col min="20" max="26" width="9.1640625" customWidth="1"/>
    <col min="27" max="27" width="3.6640625" bestFit="1" customWidth="1"/>
    <col min="28" max="28" width="20.1640625" bestFit="1" customWidth="1"/>
    <col min="29" max="29" width="11.33203125" bestFit="1" customWidth="1"/>
    <col min="30" max="30" width="9.6640625" bestFit="1" customWidth="1"/>
    <col min="32" max="32" width="9.6640625" bestFit="1" customWidth="1"/>
    <col min="37" max="37" width="9.6640625" bestFit="1" customWidth="1"/>
    <col min="38" max="38" width="4.5" bestFit="1" customWidth="1"/>
  </cols>
  <sheetData>
    <row r="1" spans="2:38" ht="15" customHeight="1" thickBot="1" x14ac:dyDescent="0.25">
      <c r="B1" s="447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</row>
    <row r="2" spans="2:38" ht="32" thickBot="1" x14ac:dyDescent="0.4">
      <c r="B2" s="447"/>
      <c r="C2" s="922" t="s">
        <v>426</v>
      </c>
      <c r="D2" s="923"/>
      <c r="E2" s="923"/>
      <c r="F2" s="923"/>
      <c r="G2" s="924"/>
      <c r="H2" s="58"/>
      <c r="I2" s="58"/>
      <c r="J2" s="1001" t="s">
        <v>427</v>
      </c>
      <c r="K2" s="1002"/>
      <c r="L2" s="1002"/>
      <c r="M2" s="1003"/>
      <c r="N2" s="58"/>
    </row>
    <row r="3" spans="2:38" ht="31" x14ac:dyDescent="0.2">
      <c r="B3" s="447"/>
      <c r="C3" s="235" t="s">
        <v>107</v>
      </c>
      <c r="D3" s="925" t="str">
        <f>Input!C17</f>
        <v>Pull-thru delimber</v>
      </c>
      <c r="E3" s="926"/>
      <c r="F3" s="927"/>
      <c r="G3" s="472" t="s">
        <v>233</v>
      </c>
      <c r="H3" s="58"/>
      <c r="I3" s="58"/>
      <c r="J3" s="1004"/>
      <c r="K3" s="1005"/>
      <c r="L3" s="1005"/>
      <c r="M3" s="1006"/>
      <c r="N3" s="58"/>
    </row>
    <row r="4" spans="2:38" ht="24" x14ac:dyDescent="0.2">
      <c r="B4" s="447"/>
      <c r="C4" s="928" t="s">
        <v>237</v>
      </c>
      <c r="D4" s="907">
        <f>IF(Input!C7="Cut-to-Length","",AC7*AD7)</f>
        <v>47.804700897907615</v>
      </c>
      <c r="E4" s="908"/>
      <c r="F4" s="930"/>
      <c r="G4" s="294" t="s">
        <v>238</v>
      </c>
      <c r="H4" s="58"/>
      <c r="I4" s="58"/>
      <c r="J4" s="1004"/>
      <c r="K4" s="1005"/>
      <c r="L4" s="1005"/>
      <c r="M4" s="1006"/>
      <c r="N4" s="58"/>
      <c r="AB4" t="str">
        <f>IF(Input!E12="Whole Tree",#REF!*'Tree volume estimation'!G20,"")</f>
        <v/>
      </c>
    </row>
    <row r="5" spans="2:38" ht="24" x14ac:dyDescent="0.2">
      <c r="B5" s="447"/>
      <c r="C5" s="929"/>
      <c r="D5" s="1010">
        <f>IF(OR(Input!C7="Cut-to-Length",D3="None"),"",D4*'Tree volume estimation'!$E$15/100)</f>
        <v>20.151919338626975</v>
      </c>
      <c r="E5" s="1011"/>
      <c r="F5" s="1012"/>
      <c r="G5" s="295" t="s">
        <v>246</v>
      </c>
      <c r="H5" s="58"/>
      <c r="I5" s="58"/>
      <c r="J5" s="1004"/>
      <c r="K5" s="1005"/>
      <c r="L5" s="1005"/>
      <c r="M5" s="1006"/>
      <c r="N5" s="58"/>
      <c r="X5" s="4"/>
    </row>
    <row r="6" spans="2:38" ht="31" x14ac:dyDescent="0.35">
      <c r="B6" s="448"/>
      <c r="C6" s="928" t="s">
        <v>247</v>
      </c>
      <c r="D6" s="907">
        <f>IF(OR(Input!C7="Cut-to-Length",D3="None"),"",IF(D3="Pull-thru delimber",'Machine Rates'!X17,'Machine Rates'!Z17)/D5)</f>
        <v>9.9766898661561232</v>
      </c>
      <c r="E6" s="908"/>
      <c r="F6" s="908"/>
      <c r="G6" s="294" t="s">
        <v>158</v>
      </c>
      <c r="H6" s="58"/>
      <c r="I6" s="58"/>
      <c r="J6" s="1004"/>
      <c r="K6" s="1005"/>
      <c r="L6" s="1005"/>
      <c r="M6" s="1006"/>
      <c r="N6" s="58"/>
      <c r="AB6" s="15" t="s">
        <v>239</v>
      </c>
      <c r="AC6" s="15" t="s">
        <v>240</v>
      </c>
      <c r="AD6" t="s">
        <v>235</v>
      </c>
      <c r="AF6" t="s">
        <v>333</v>
      </c>
      <c r="AG6" t="s">
        <v>241</v>
      </c>
      <c r="AK6" t="s">
        <v>235</v>
      </c>
      <c r="AL6" t="s">
        <v>241</v>
      </c>
    </row>
    <row r="7" spans="2:38" ht="24" x14ac:dyDescent="0.2">
      <c r="B7" s="454"/>
      <c r="C7" s="934"/>
      <c r="D7" s="909">
        <f>IF(OR(Input!C7="Cut-to-Length",D3="None"),"",IF(D3="Processor (Pull thru)",'Machine Rates'!X17,'Machine Rates'!Z17)/D4)</f>
        <v>5.4662055008470976</v>
      </c>
      <c r="E7" s="910"/>
      <c r="F7" s="910"/>
      <c r="G7" s="296" t="s">
        <v>157</v>
      </c>
      <c r="H7" s="58"/>
      <c r="I7" s="58"/>
      <c r="J7" s="1004"/>
      <c r="K7" s="1005"/>
      <c r="L7" s="1005"/>
      <c r="M7" s="1006"/>
      <c r="N7" s="58"/>
      <c r="Z7" s="223" t="s">
        <v>614</v>
      </c>
      <c r="AA7" s="223" t="str">
        <f>IF(Input!C7="Whole-Tree", "WT", IF( Input!E12= "Tree-Length", "TL", "CTL"))</f>
        <v>WT</v>
      </c>
      <c r="AB7" s="264">
        <f>AG7</f>
        <v>0.85491435903136914</v>
      </c>
      <c r="AC7" s="226">
        <f>60/AB7</f>
        <v>70.182468414708708</v>
      </c>
      <c r="AD7" s="265">
        <f>AL7</f>
        <v>0.68114875378035</v>
      </c>
      <c r="AF7" t="s">
        <v>145</v>
      </c>
      <c r="AG7" s="4">
        <f>AVERAGE(K13:K18)</f>
        <v>0.85491435903136914</v>
      </c>
      <c r="AK7" t="s">
        <v>145</v>
      </c>
      <c r="AL7" s="4">
        <f>IF(Input!C8=4,'Tree volume estimation'!P8,'Tree volume estimation'!U8)</f>
        <v>0.68114875378035</v>
      </c>
    </row>
    <row r="8" spans="2:38" ht="25" thickBot="1" x14ac:dyDescent="0.25">
      <c r="B8" s="58"/>
      <c r="C8" s="935"/>
      <c r="D8" s="911">
        <f>IF(OR(Input!C7="Cut-to-Length",D3="None"),"",IF(Input!C8=4,D7*'Tree volume estimation'!P6,D7*'Tree volume estimation'!U6))</f>
        <v>166.05913829049453</v>
      </c>
      <c r="E8" s="912"/>
      <c r="F8" s="912"/>
      <c r="G8" s="297" t="s">
        <v>156</v>
      </c>
      <c r="H8" s="58"/>
      <c r="I8" s="58"/>
      <c r="J8" s="1007"/>
      <c r="K8" s="1008"/>
      <c r="L8" s="1008"/>
      <c r="M8" s="1009"/>
      <c r="N8" s="58"/>
    </row>
    <row r="9" spans="2:38" ht="16" thickBot="1" x14ac:dyDescent="0.25">
      <c r="B9" s="58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</row>
    <row r="10" spans="2:38" ht="32" thickBot="1" x14ac:dyDescent="0.4">
      <c r="B10" s="58"/>
      <c r="C10" s="936" t="s">
        <v>255</v>
      </c>
      <c r="D10" s="937"/>
      <c r="E10" s="937"/>
      <c r="F10" s="937"/>
      <c r="G10" s="937"/>
      <c r="H10" s="938"/>
      <c r="I10" s="58"/>
      <c r="J10" s="936" t="s">
        <v>256</v>
      </c>
      <c r="K10" s="937"/>
      <c r="L10" s="937"/>
      <c r="M10" s="938"/>
      <c r="N10" s="58"/>
    </row>
    <row r="11" spans="2:38" ht="24" x14ac:dyDescent="0.3">
      <c r="B11" s="58"/>
      <c r="C11" s="939" t="s">
        <v>145</v>
      </c>
      <c r="D11" s="940"/>
      <c r="E11" s="940"/>
      <c r="F11" s="940"/>
      <c r="G11" s="940"/>
      <c r="H11" s="941"/>
      <c r="I11" s="58"/>
      <c r="J11" s="939" t="s">
        <v>145</v>
      </c>
      <c r="K11" s="940"/>
      <c r="L11" s="940"/>
      <c r="M11" s="941"/>
      <c r="N11" s="58"/>
    </row>
    <row r="12" spans="2:38" x14ac:dyDescent="0.2">
      <c r="B12" s="58"/>
      <c r="C12" s="241" t="s">
        <v>259</v>
      </c>
      <c r="D12" s="219" t="s">
        <v>166</v>
      </c>
      <c r="E12" s="219" t="s">
        <v>260</v>
      </c>
      <c r="F12" s="219" t="s">
        <v>261</v>
      </c>
      <c r="G12" s="219" t="s">
        <v>262</v>
      </c>
      <c r="H12" s="215" t="s">
        <v>263</v>
      </c>
      <c r="I12" s="58"/>
      <c r="J12" s="259" t="s">
        <v>130</v>
      </c>
      <c r="K12" s="260" t="s">
        <v>264</v>
      </c>
      <c r="L12" s="219" t="s">
        <v>688</v>
      </c>
      <c r="M12" s="215" t="s">
        <v>265</v>
      </c>
      <c r="N12" s="58"/>
    </row>
    <row r="13" spans="2:38" x14ac:dyDescent="0.2">
      <c r="B13" s="58"/>
      <c r="C13" s="233" t="s">
        <v>745</v>
      </c>
      <c r="D13" s="570"/>
      <c r="E13" s="177">
        <f>0.586094+0.06247*(H16)</f>
        <v>1.3687898744394618</v>
      </c>
      <c r="F13" s="213" t="s">
        <v>428</v>
      </c>
      <c r="G13" s="15" t="s">
        <v>283</v>
      </c>
      <c r="H13" s="238">
        <f>IF(D13="",E13,D13)</f>
        <v>1.3687898744394618</v>
      </c>
      <c r="I13" s="58"/>
      <c r="J13" s="229" t="s">
        <v>241</v>
      </c>
      <c r="K13" s="240">
        <f>(EXP(4.128+0.109*H13))/100</f>
        <v>0.72038312555246165</v>
      </c>
      <c r="L13" t="s">
        <v>272</v>
      </c>
      <c r="M13" s="20" t="s">
        <v>430</v>
      </c>
      <c r="N13" s="58"/>
    </row>
    <row r="14" spans="2:38" x14ac:dyDescent="0.2">
      <c r="B14" s="58"/>
      <c r="C14" s="11" t="s">
        <v>752</v>
      </c>
      <c r="D14" s="56"/>
      <c r="E14" s="177">
        <v>9.25</v>
      </c>
      <c r="F14" s="212" t="s">
        <v>719</v>
      </c>
      <c r="G14" s="15" t="s">
        <v>310</v>
      </c>
      <c r="H14" s="238">
        <f>IF(D14="",E14,D14)</f>
        <v>9.25</v>
      </c>
      <c r="I14" s="58"/>
      <c r="J14" s="229" t="s">
        <v>241</v>
      </c>
      <c r="K14" s="240">
        <f>(0.712+0.43*H13*H14)/H14</f>
        <v>0.66555261898194151</v>
      </c>
      <c r="L14" t="s">
        <v>310</v>
      </c>
      <c r="M14" s="20" t="s">
        <v>432</v>
      </c>
      <c r="N14" s="58"/>
    </row>
    <row r="15" spans="2:38" x14ac:dyDescent="0.2">
      <c r="B15" s="58"/>
      <c r="C15" s="11" t="s">
        <v>753</v>
      </c>
      <c r="D15" s="56"/>
      <c r="E15" s="177">
        <f>H13+1</f>
        <v>2.3687898744394618</v>
      </c>
      <c r="F15" s="212" t="s">
        <v>431</v>
      </c>
      <c r="G15" s="15" t="s">
        <v>738</v>
      </c>
      <c r="H15" s="238">
        <f>IF(D15="",E15,D15)</f>
        <v>2.3687898744394618</v>
      </c>
      <c r="I15" s="58"/>
      <c r="J15" s="229" t="s">
        <v>241</v>
      </c>
      <c r="K15" s="240">
        <f>(43.09+48.84*H13)/100</f>
        <v>1.0994169746762332</v>
      </c>
      <c r="L15" t="s">
        <v>308</v>
      </c>
      <c r="M15" s="20" t="s">
        <v>433</v>
      </c>
      <c r="N15" s="58"/>
    </row>
    <row r="16" spans="2:38" x14ac:dyDescent="0.2">
      <c r="B16" s="58"/>
      <c r="C16" s="232" t="s">
        <v>783</v>
      </c>
      <c r="D16" s="56"/>
      <c r="E16" s="178">
        <f>'Tree volume estimation'!E10</f>
        <v>12.52914798206278</v>
      </c>
      <c r="F16" s="181" t="s">
        <v>754</v>
      </c>
      <c r="G16" s="15" t="s">
        <v>659</v>
      </c>
      <c r="H16" s="238">
        <f>IF(D16="",E16,D16)</f>
        <v>12.52914798206278</v>
      </c>
      <c r="I16" s="58"/>
      <c r="J16" s="229" t="s">
        <v>241</v>
      </c>
      <c r="K16" s="240">
        <f>0.0466+0.0093*H16*2.54+ IF(Input!C8=4,0.114*'Tree volume estimation'!AP103+0.0383*'Tree volume estimation'!AP104, 0.114*'Tree volume estimation'!AP147+0.0383*'Tree volume estimation'!AP148)</f>
        <v>0.42693191928251117</v>
      </c>
      <c r="L16" t="s">
        <v>268</v>
      </c>
      <c r="M16" s="230" t="s">
        <v>434</v>
      </c>
      <c r="N16" s="58"/>
    </row>
    <row r="17" spans="2:14" x14ac:dyDescent="0.2">
      <c r="B17" s="58"/>
      <c r="C17" s="11"/>
      <c r="H17" s="12"/>
      <c r="I17" s="58"/>
      <c r="J17" s="229" t="s">
        <v>241</v>
      </c>
      <c r="K17" s="240">
        <f>0.0401+0.0185*H16*2.54+ IF(Input!C8=4,0.3812*'Tree volume estimation'!AP103+0.0361*'Tree volume estimation'!AP104,0.3812*'Tree volume estimation'!AP147+0.0361*'Tree volume estimation'!AP148)</f>
        <v>0.77465565022421523</v>
      </c>
      <c r="L17" t="s">
        <v>268</v>
      </c>
      <c r="M17" s="230" t="s">
        <v>435</v>
      </c>
      <c r="N17" s="58"/>
    </row>
    <row r="18" spans="2:14" x14ac:dyDescent="0.2">
      <c r="B18" s="58"/>
      <c r="C18" s="11"/>
      <c r="H18" s="12"/>
      <c r="I18" s="58"/>
      <c r="J18" s="229" t="s">
        <v>241</v>
      </c>
      <c r="K18" s="240">
        <f>-0.2703+0.0403*H16*2.54+IF(Input!C8=4,0.4331*'Tree volume estimation'!AP103+0.2196*'Tree volume estimation'!AP104,0.4331*'Tree volume estimation'!AP147+0.2196*'Tree volume estimation'!AP148)</f>
        <v>1.4425458654708521</v>
      </c>
      <c r="L18" t="s">
        <v>268</v>
      </c>
      <c r="M18" s="231" t="s">
        <v>436</v>
      </c>
      <c r="N18" s="58"/>
    </row>
    <row r="19" spans="2:14" ht="16" thickBot="1" x14ac:dyDescent="0.25">
      <c r="B19" s="58"/>
      <c r="C19" s="13"/>
      <c r="D19" s="1"/>
      <c r="E19" s="1"/>
      <c r="F19" s="1"/>
      <c r="G19" s="1"/>
      <c r="H19" s="14"/>
      <c r="I19" s="58"/>
      <c r="J19" s="13"/>
      <c r="K19" s="1"/>
      <c r="L19" s="1"/>
      <c r="M19" s="14"/>
      <c r="N19" s="58"/>
    </row>
    <row r="20" spans="2:14" x14ac:dyDescent="0.2"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</row>
    <row r="21" spans="2:14" x14ac:dyDescent="0.2">
      <c r="B21" s="58"/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</row>
    <row r="22" spans="2:14" x14ac:dyDescent="0.2">
      <c r="B22" s="58"/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</row>
    <row r="29" spans="2:14" hidden="1" x14ac:dyDescent="0.2">
      <c r="J29" s="229" t="s">
        <v>241</v>
      </c>
      <c r="K29" s="240">
        <f>(22.253-659.63*(1/H16)-141.8*(1/H15)+3003*(1/(H16*H15))+0.0087)/100</f>
        <v>0.10935207611721745</v>
      </c>
      <c r="L29" t="s">
        <v>296</v>
      </c>
      <c r="M29" s="20" t="s">
        <v>429</v>
      </c>
    </row>
  </sheetData>
  <mergeCells count="14">
    <mergeCell ref="C11:H11"/>
    <mergeCell ref="J11:M11"/>
    <mergeCell ref="D3:F3"/>
    <mergeCell ref="D4:F4"/>
    <mergeCell ref="D5:F5"/>
    <mergeCell ref="D6:F6"/>
    <mergeCell ref="D7:F7"/>
    <mergeCell ref="C2:G2"/>
    <mergeCell ref="C4:C5"/>
    <mergeCell ref="C6:C8"/>
    <mergeCell ref="D8:F8"/>
    <mergeCell ref="J10:M10"/>
    <mergeCell ref="C10:H10"/>
    <mergeCell ref="J2:M8"/>
  </mergeCells>
  <pageMargins left="0.7" right="0.7" top="0.75" bottom="0.75" header="0.3" footer="0.3"/>
  <pageSetup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64C43CB7C72F449B01C1C243269F013" ma:contentTypeVersion="11" ma:contentTypeDescription="Create a new document." ma:contentTypeScope="" ma:versionID="87598ff752335584d0e523b37212d5d8">
  <xsd:schema xmlns:xsd="http://www.w3.org/2001/XMLSchema" xmlns:xs="http://www.w3.org/2001/XMLSchema" xmlns:p="http://schemas.microsoft.com/office/2006/metadata/properties" xmlns:ns3="eb9c3fbb-4a15-44ef-be7b-1d7a2220273a" targetNamespace="http://schemas.microsoft.com/office/2006/metadata/properties" ma:root="true" ma:fieldsID="683c3543186684908dd7321f35277d0b" ns3:_="">
    <xsd:import namespace="eb9c3fbb-4a15-44ef-be7b-1d7a2220273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9c3fbb-4a15-44ef-be7b-1d7a2220273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description="" ma:indexed="true" ma:internalName="MediaServiceLocatio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63707B9-4BC1-4F04-ACC1-13BFD90EF779}">
  <ds:schemaRefs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schemas.microsoft.com/office/2006/metadata/properties"/>
    <ds:schemaRef ds:uri="http://purl.org/dc/terms/"/>
    <ds:schemaRef ds:uri="http://purl.org/dc/elements/1.1/"/>
    <ds:schemaRef ds:uri="http://purl.org/dc/dcmitype/"/>
    <ds:schemaRef ds:uri="http://schemas.openxmlformats.org/package/2006/metadata/core-properties"/>
    <ds:schemaRef ds:uri="eb9c3fbb-4a15-44ef-be7b-1d7a2220273a"/>
  </ds:schemaRefs>
</ds:datastoreItem>
</file>

<file path=customXml/itemProps2.xml><?xml version="1.0" encoding="utf-8"?>
<ds:datastoreItem xmlns:ds="http://schemas.openxmlformats.org/officeDocument/2006/customXml" ds:itemID="{1B11239E-5802-4F24-8042-FDBCF400900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0A34DEF-DB6F-4CD5-8FEE-7BA5D6A7B45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9c3fbb-4a15-44ef-be7b-1d7a2220273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9</vt:i4>
      </vt:variant>
    </vt:vector>
  </HeadingPairs>
  <TitlesOfParts>
    <vt:vector size="24" baseType="lpstr">
      <vt:lpstr>Introduction</vt:lpstr>
      <vt:lpstr>Definition</vt:lpstr>
      <vt:lpstr>Model Flow Chart</vt:lpstr>
      <vt:lpstr>Input</vt:lpstr>
      <vt:lpstr>Cost Summary</vt:lpstr>
      <vt:lpstr>Machine Rates</vt:lpstr>
      <vt:lpstr>Felling</vt:lpstr>
      <vt:lpstr>Extraction</vt:lpstr>
      <vt:lpstr>Processing</vt:lpstr>
      <vt:lpstr>Loading</vt:lpstr>
      <vt:lpstr>Chipping &amp; Grinding</vt:lpstr>
      <vt:lpstr>Transportation</vt:lpstr>
      <vt:lpstr>Tree volume estimation</vt:lpstr>
      <vt:lpstr>References </vt:lpstr>
      <vt:lpstr>#of logs</vt:lpstr>
      <vt:lpstr>Extraction</vt:lpstr>
      <vt:lpstr>Extraction_CTL</vt:lpstr>
      <vt:lpstr>Extraction_TL</vt:lpstr>
      <vt:lpstr>Extraction_WT</vt:lpstr>
      <vt:lpstr>Felling</vt:lpstr>
      <vt:lpstr>Felling_CTL</vt:lpstr>
      <vt:lpstr>Felling_TL</vt:lpstr>
      <vt:lpstr>Felling_WT</vt:lpstr>
      <vt:lpstr>Harvesting_method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2015-06-05T18:17:20Z</dcterms:created>
  <dcterms:modified xsi:type="dcterms:W3CDTF">2024-01-23T20:22:15Z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0x010100564C43CB7C72F449B01C1C243269F013</vt:lpwstr>
  </property>
</Properties>
</file>